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Instellingen" sheetId="2" state="visible" r:id="rId2"/>
    <sheet xmlns:r="http://schemas.openxmlformats.org/officeDocument/2006/relationships" name="Weekplan" sheetId="3" state="visible" r:id="rId3"/>
    <sheet xmlns:r="http://schemas.openxmlformats.org/officeDocument/2006/relationships" name="Opschalen" sheetId="4" state="visible" r:id="rId4"/>
    <sheet xmlns:r="http://schemas.openxmlformats.org/officeDocument/2006/relationships" name="Uitleg" sheetId="5" state="visible" r:id="rId5"/>
  </sheets>
  <definedNames>
    <definedName name="Startkapitaal">Instellingen!$C$6</definedName>
    <definedName name="RisicoModus">Instellingen!$C$7</definedName>
    <definedName name="RisicoUSD">Instellingen!$C$8</definedName>
    <definedName name="RisicoPct">Instellingen!$C$9</definedName>
    <definedName name="DoelModus">Instellingen!$C$12</definedName>
    <definedName name="DoelUSD">Instellingen!$C$13</definedName>
    <definedName name="DoelPct">Instellingen!$C$14</definedName>
    <definedName name="MaxWeekverliesR">Instellingen!$C$17</definedName>
    <definedName name="Startdatum">Instellingen!$C$18</definedName>
    <definedName name="Handelsweken">Instellingen!$C$19</definedName>
  </definedNames>
  <calcPr calcId="124519" fullCalcOnLoad="1"/>
</workbook>
</file>

<file path=xl/styles.xml><?xml version="1.0" encoding="utf-8"?>
<styleSheet xmlns="http://schemas.openxmlformats.org/spreadsheetml/2006/main">
  <numFmts count="14">
    <numFmt numFmtId="164" formatCode="&quot;$&quot;#,##0.00"/>
    <numFmt numFmtId="165" formatCode="0.0%"/>
    <numFmt numFmtId="166" formatCode="0.0&quot; R&quot;"/>
    <numFmt numFmtId="167" formatCode="yyyy-mm-dd"/>
    <numFmt numFmtId="168" formatCode="dd-mm-yyyy"/>
    <numFmt numFmtId="169" formatCode="0&quot; weken&quot;"/>
    <numFmt numFmtId="170" formatCode="0.00&quot; R&quot;"/>
    <numFmt numFmtId="171" formatCode="dd-mm"/>
    <numFmt numFmtId="172" formatCode="0&quot; van 52&quot;"/>
    <numFmt numFmtId="173" formatCode="0&quot; pt&quot;"/>
    <numFmt numFmtId="174" formatCode="&quot;$&quot;#,##0"/>
    <numFmt numFmtId="175" formatCode="0&quot; verliezen&quot;"/>
    <numFmt numFmtId="176" formatCode="0.0&quot;x&quot;"/>
    <numFmt numFmtId="177" formatCode="0&quot; contract(en)&quot;"/>
  </numFmts>
  <fonts count="16">
    <font>
      <name val="Calibri"/>
      <family val="2"/>
      <color theme="1"/>
      <sz val="11"/>
      <scheme val="minor"/>
    </font>
    <font>
      <name val="Calibri"/>
      <b val="1"/>
      <color rgb="001F3A5F"/>
      <sz val="16"/>
    </font>
    <font>
      <name val="Calibri"/>
      <color rgb="005F7080"/>
      <sz val="11"/>
    </font>
    <font>
      <name val="Calibri"/>
      <b val="1"/>
      <color rgb="00006B7F"/>
      <sz val="11"/>
    </font>
    <font>
      <name val="Calibri"/>
      <color rgb="00232A30"/>
      <sz val="11"/>
    </font>
    <font>
      <name val="Calibri"/>
      <b val="1"/>
      <color rgb="00232A30"/>
      <sz val="11"/>
    </font>
    <font>
      <name val="Calibri"/>
      <b val="1"/>
      <color rgb="00232A30"/>
      <sz val="10"/>
    </font>
    <font>
      <name val="Calibri"/>
      <b val="1"/>
      <color rgb="00B23A2C"/>
      <sz val="11"/>
    </font>
    <font>
      <name val="Calibri"/>
      <b val="1"/>
      <color rgb="00FFFFFF"/>
      <sz val="9"/>
    </font>
    <font>
      <name val="Calibri"/>
      <b val="1"/>
      <sz val="10"/>
    </font>
    <font>
      <name val="Calibri"/>
      <b val="1"/>
      <color rgb="001F3A5F"/>
      <sz val="12"/>
    </font>
    <font>
      <name val="Calibri"/>
      <b val="1"/>
      <color rgb="005F7080"/>
      <sz val="9"/>
    </font>
    <font>
      <name val="Calibri"/>
      <color rgb="005F7080"/>
      <sz val="9"/>
    </font>
    <font>
      <name val="Calibri"/>
      <b val="1"/>
      <color rgb="001F3A5F"/>
      <sz val="11"/>
    </font>
    <font>
      <name val="Calibri"/>
      <color rgb="00232A30"/>
      <sz val="10"/>
    </font>
    <font>
      <name val="Calibri"/>
      <b val="1"/>
      <color rgb="00006B7F"/>
      <sz val="10"/>
    </font>
  </fonts>
  <fills count="6">
    <fill>
      <patternFill/>
    </fill>
    <fill>
      <patternFill patternType="gray125"/>
    </fill>
    <fill>
      <patternFill patternType="solid">
        <fgColor rgb="00FFF8E1"/>
      </patternFill>
    </fill>
    <fill>
      <patternFill patternType="solid">
        <fgColor rgb="00F4F7FA"/>
      </patternFill>
    </fill>
    <fill>
      <patternFill patternType="solid">
        <fgColor rgb="001F3A5F"/>
      </patternFill>
    </fill>
    <fill>
      <patternFill patternType="solid">
        <fgColor rgb="00E7F5EC"/>
      </patternFill>
    </fill>
  </fills>
  <borders count="3">
    <border>
      <left/>
      <right/>
      <top/>
      <bottom/>
      <diagonal/>
    </border>
    <border>
      <left style="thin">
        <color rgb="00E0B94A"/>
      </left>
      <right style="thin">
        <color rgb="00E0B94A"/>
      </right>
      <top style="thin">
        <color rgb="00E0B94A"/>
      </top>
      <bottom style="thin">
        <color rgb="00E0B94A"/>
      </bottom>
    </border>
    <border>
      <left style="thin">
        <color rgb="00CDD8E2"/>
      </left>
      <right style="thin">
        <color rgb="00CDD8E2"/>
      </right>
      <top style="thin">
        <color rgb="00CDD8E2"/>
      </top>
      <bottom style="thin">
        <color rgb="00CDD8E2"/>
      </bottom>
    </border>
  </borders>
  <cellStyleXfs count="1">
    <xf numFmtId="0" fontId="0" fillId="0" borderId="0"/>
  </cellStyleXfs>
  <cellXfs count="57">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172" fontId="10" fillId="3" borderId="2" applyAlignment="1" pivotButton="0" quotePrefix="0" xfId="0">
      <alignment horizontal="right"/>
    </xf>
    <xf numFmtId="1" fontId="10" fillId="3" borderId="2" applyAlignment="1" pivotButton="0" quotePrefix="0" xfId="0">
      <alignment horizontal="right"/>
    </xf>
    <xf numFmtId="164" fontId="10" fillId="3" borderId="2" applyAlignment="1" pivotButton="0" quotePrefix="0" xfId="0">
      <alignment horizontal="right"/>
    </xf>
    <xf numFmtId="165" fontId="10" fillId="3" borderId="2" applyAlignment="1" pivotButton="0" quotePrefix="0" xfId="0">
      <alignment horizontal="right"/>
    </xf>
    <xf numFmtId="170" fontId="10" fillId="3" borderId="2" applyAlignment="1" pivotButton="0" quotePrefix="0" xfId="0">
      <alignment horizontal="right"/>
    </xf>
    <xf numFmtId="0" fontId="5" fillId="0" borderId="2" applyAlignment="1" pivotButton="0" quotePrefix="0" xfId="0">
      <alignment vertical="top" wrapText="1"/>
    </xf>
    <xf numFmtId="0" fontId="3" fillId="0" borderId="0" pivotButton="0" quotePrefix="0" xfId="0"/>
    <xf numFmtId="0" fontId="4" fillId="0" borderId="0" applyAlignment="1" pivotButton="0" quotePrefix="0" xfId="0">
      <alignment horizontal="left" indent="1"/>
    </xf>
    <xf numFmtId="164" fontId="5" fillId="2" borderId="1" applyAlignment="1" pivotButton="0" quotePrefix="0" xfId="0">
      <alignment horizontal="right"/>
    </xf>
    <xf numFmtId="164" fontId="5" fillId="3" borderId="2" applyAlignment="1" pivotButton="0" quotePrefix="0" xfId="0">
      <alignment horizontal="right"/>
    </xf>
    <xf numFmtId="0" fontId="5" fillId="2" borderId="1" applyAlignment="1" pivotButton="0" quotePrefix="0" xfId="0">
      <alignment horizontal="right"/>
    </xf>
    <xf numFmtId="170" fontId="3" fillId="3" borderId="2" applyAlignment="1" pivotButton="0" quotePrefix="0" xfId="0">
      <alignment horizontal="right"/>
    </xf>
    <xf numFmtId="165" fontId="5" fillId="2" borderId="1" applyAlignment="1" pivotButton="0" quotePrefix="0" xfId="0">
      <alignment horizontal="right"/>
    </xf>
    <xf numFmtId="170" fontId="4" fillId="3" borderId="2" applyAlignment="1" pivotButton="0" quotePrefix="0" xfId="0">
      <alignment horizontal="right"/>
    </xf>
    <xf numFmtId="165" fontId="5" fillId="3" borderId="2" applyAlignment="1" pivotButton="0" quotePrefix="0" xfId="0">
      <alignment horizontal="right"/>
    </xf>
    <xf numFmtId="0" fontId="6" fillId="0" borderId="2" applyAlignment="1" pivotButton="0" quotePrefix="0" xfId="0">
      <alignment vertical="top" wrapText="1"/>
    </xf>
    <xf numFmtId="166" fontId="5" fillId="2" borderId="1" applyAlignment="1" pivotButton="0" quotePrefix="0" xfId="0">
      <alignment horizontal="right"/>
    </xf>
    <xf numFmtId="168" fontId="5" fillId="2" borderId="1" applyAlignment="1" pivotButton="0" quotePrefix="0" xfId="0">
      <alignment horizontal="right"/>
    </xf>
    <xf numFmtId="169" fontId="5" fillId="2" borderId="1" applyAlignment="1" pivotButton="0" quotePrefix="0" xfId="0">
      <alignment horizontal="right"/>
    </xf>
    <xf numFmtId="164" fontId="7" fillId="3" borderId="2" applyAlignment="1" pivotButton="0" quotePrefix="0" xfId="0">
      <alignment horizontal="right"/>
    </xf>
    <xf numFmtId="0" fontId="8" fillId="4" borderId="2" applyAlignment="1" pivotButton="0" quotePrefix="0" xfId="0">
      <alignment horizontal="center" vertical="center" wrapText="1"/>
    </xf>
    <xf numFmtId="1" fontId="0" fillId="3" borderId="2" applyAlignment="1" pivotButton="0" quotePrefix="0" xfId="0">
      <alignment horizontal="center"/>
    </xf>
    <xf numFmtId="171" fontId="0" fillId="3" borderId="2" applyAlignment="1" pivotButton="0" quotePrefix="0" xfId="0">
      <alignment horizontal="center"/>
    </xf>
    <xf numFmtId="164" fontId="0" fillId="3" borderId="2" applyAlignment="1" pivotButton="0" quotePrefix="0" xfId="0">
      <alignment horizontal="right"/>
    </xf>
    <xf numFmtId="170" fontId="0" fillId="3" borderId="2" applyAlignment="1" pivotButton="0" quotePrefix="0" xfId="0">
      <alignment horizontal="right"/>
    </xf>
    <xf numFmtId="1" fontId="5" fillId="2" borderId="1" applyAlignment="1" pivotButton="0" quotePrefix="0" xfId="0">
      <alignment horizontal="right"/>
    </xf>
    <xf numFmtId="170" fontId="0" fillId="0" borderId="2" applyAlignment="1" pivotButton="0" quotePrefix="0" xfId="0">
      <alignment horizontal="right"/>
    </xf>
    <xf numFmtId="164" fontId="0" fillId="0" borderId="2" applyAlignment="1" pivotButton="0" quotePrefix="0" xfId="0">
      <alignment horizontal="right"/>
    </xf>
    <xf numFmtId="0" fontId="9" fillId="0" borderId="2" applyAlignment="1" pivotButton="0" quotePrefix="0" xfId="0">
      <alignment horizontal="center"/>
    </xf>
    <xf numFmtId="165" fontId="0" fillId="0" borderId="2" applyAlignment="1" pivotButton="0" quotePrefix="0" xfId="0">
      <alignment horizontal="right"/>
    </xf>
    <xf numFmtId="0" fontId="11" fillId="0" borderId="0" pivotButton="0" quotePrefix="0" xfId="0"/>
    <xf numFmtId="164" fontId="4" fillId="3" borderId="2" applyAlignment="1" pivotButton="0" quotePrefix="0" xfId="0">
      <alignment horizontal="right"/>
    </xf>
    <xf numFmtId="0" fontId="12" fillId="0" borderId="0" pivotButton="0" quotePrefix="0" xfId="0"/>
    <xf numFmtId="164" fontId="12" fillId="0" borderId="0" pivotButton="0" quotePrefix="0" xfId="0"/>
    <xf numFmtId="173" fontId="5" fillId="2" borderId="1" applyAlignment="1" pivotButton="0" quotePrefix="0" xfId="0">
      <alignment horizontal="right"/>
    </xf>
    <xf numFmtId="174" fontId="5" fillId="2" borderId="1" applyAlignment="1" pivotButton="0" quotePrefix="0" xfId="0">
      <alignment horizontal="right"/>
    </xf>
    <xf numFmtId="175" fontId="5" fillId="2" borderId="1" applyAlignment="1" pivotButton="0" quotePrefix="0" xfId="0">
      <alignment horizontal="right"/>
    </xf>
    <xf numFmtId="164" fontId="3" fillId="3" borderId="2" applyAlignment="1" pivotButton="0" quotePrefix="0" xfId="0">
      <alignment horizontal="right"/>
    </xf>
    <xf numFmtId="176" fontId="5" fillId="2" borderId="1" applyAlignment="1" pivotButton="0" quotePrefix="0" xfId="0">
      <alignment horizontal="right"/>
    </xf>
    <xf numFmtId="176" fontId="4" fillId="3" borderId="2" applyAlignment="1" pivotButton="0" quotePrefix="0" xfId="0">
      <alignment horizontal="right"/>
    </xf>
    <xf numFmtId="1" fontId="13" fillId="3" borderId="2" applyAlignment="1" pivotButton="0" quotePrefix="0" xfId="0">
      <alignment horizontal="center"/>
    </xf>
    <xf numFmtId="174" fontId="0" fillId="3" borderId="2" applyAlignment="1" pivotButton="0" quotePrefix="0" xfId="0">
      <alignment horizontal="right"/>
    </xf>
    <xf numFmtId="165" fontId="0" fillId="3" borderId="2" applyAlignment="1" pivotButton="0" quotePrefix="0" xfId="0">
      <alignment horizontal="right"/>
    </xf>
    <xf numFmtId="177" fontId="3" fillId="3" borderId="2" applyAlignment="1" pivotButton="0" quotePrefix="0" xfId="0">
      <alignment horizontal="right"/>
    </xf>
    <xf numFmtId="0" fontId="12" fillId="0" borderId="0" applyAlignment="1" pivotButton="0" quotePrefix="0" xfId="0">
      <alignment vertical="top" wrapText="1"/>
    </xf>
    <xf numFmtId="0" fontId="14" fillId="0" borderId="2" applyAlignment="1" pivotButton="0" quotePrefix="0" xfId="0">
      <alignment horizontal="center"/>
    </xf>
    <xf numFmtId="174" fontId="14" fillId="0" borderId="2" applyAlignment="1" pivotButton="0" quotePrefix="0" xfId="0">
      <alignment horizontal="right"/>
    </xf>
    <xf numFmtId="165" fontId="14" fillId="0" borderId="2" applyAlignment="1" pivotButton="0" quotePrefix="0" xfId="0">
      <alignment horizontal="right"/>
    </xf>
    <xf numFmtId="0" fontId="15" fillId="5" borderId="2" applyAlignment="1" pivotButton="0" quotePrefix="0" xfId="0">
      <alignment horizontal="center"/>
    </xf>
    <xf numFmtId="174" fontId="15" fillId="5" borderId="2" applyAlignment="1" pivotButton="0" quotePrefix="0" xfId="0">
      <alignment horizontal="right"/>
    </xf>
    <xf numFmtId="165" fontId="15" fillId="5" borderId="2" applyAlignment="1" pivotButton="0" quotePrefix="0" xfId="0">
      <alignment horizontal="right"/>
    </xf>
    <xf numFmtId="0" fontId="14" fillId="3" borderId="2" applyAlignment="1" pivotButton="0" quotePrefix="0" xfId="0">
      <alignment vertical="top" wrapText="1"/>
    </xf>
    <xf numFmtId="0" fontId="14" fillId="0" borderId="0" applyAlignment="1" pivotButton="0" quotePrefix="0" xfId="0">
      <alignment vertical="top" wrapText="1"/>
    </xf>
  </cellXfs>
  <cellStyles count="1">
    <cellStyle name="Normal" xfId="0" builtinId="0" hidden="0"/>
  </cellStyles>
  <dxfs count="10">
    <dxf>
      <font>
        <b val="1"/>
        <color rgb="001E8A4C"/>
        <sz val="12"/>
      </font>
    </dxf>
    <dxf>
      <font>
        <b val="1"/>
        <color rgb="00B23A2C"/>
        <sz val="12"/>
      </font>
    </dxf>
    <dxf>
      <fill>
        <patternFill patternType="solid">
          <fgColor rgb="00E7F5EC"/>
        </patternFill>
      </fill>
    </dxf>
    <dxf>
      <fill>
        <patternFill patternType="solid">
          <fgColor rgb="00FFF4E0"/>
        </patternFill>
      </fill>
    </dxf>
    <dxf>
      <fill>
        <patternFill patternType="solid">
          <fgColor rgb="00FBEAE8"/>
        </patternFill>
      </fill>
    </dxf>
    <dxf>
      <font>
        <b val="1"/>
        <color rgb="001E8A4C"/>
      </font>
    </dxf>
    <dxf>
      <font>
        <b val="1"/>
        <color rgb="00B23A2C"/>
      </font>
    </dxf>
    <dxf>
      <font>
        <b val="1"/>
        <color rgb="001E8A4C"/>
      </font>
      <fill>
        <patternFill patternType="solid">
          <fgColor rgb="00E7F5EC"/>
        </patternFill>
      </fill>
    </dxf>
    <dxf>
      <font>
        <b val="1"/>
        <color rgb="008A5E05"/>
      </font>
      <fill>
        <patternFill patternType="solid">
          <fgColor rgb="00FFF4E0"/>
        </patternFill>
      </fill>
    </dxf>
    <dxf>
      <font>
        <b val="1"/>
        <color rgb="00B23A2C"/>
      </font>
      <fill>
        <patternFill patternType="solid">
          <fgColor rgb="00FBEA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Saldo — plan tegenover werkelijk (USD)</a:t>
            </a:r>
          </a:p>
        </rich>
      </tx>
    </title>
    <plotArea>
      <lineChart>
        <grouping val="standard"/>
        <ser>
          <idx val="0"/>
          <order val="0"/>
          <tx>
            <strRef>
              <f>'Weekplan'!G5</f>
            </strRef>
          </tx>
          <spPr>
            <a:ln xmlns:a="http://schemas.openxmlformats.org/drawingml/2006/main" w="20000">
              <a:solidFill>
                <a:srgbClr val="5F7080"/>
              </a:solidFill>
              <a:prstDash val="solid"/>
            </a:ln>
          </spPr>
          <marker>
            <symbol val="none"/>
            <spPr>
              <a:ln xmlns:a="http://schemas.openxmlformats.org/drawingml/2006/main">
                <a:prstDash val="solid"/>
              </a:ln>
            </spPr>
          </marker>
          <cat>
            <numRef>
              <f>'Weekplan'!$A$6:$A$57</f>
            </numRef>
          </cat>
          <val>
            <numRef>
              <f>'Weekplan'!$G$6:$G$57</f>
            </numRef>
          </val>
          <smooth val="0"/>
        </ser>
        <ser>
          <idx val="1"/>
          <order val="1"/>
          <tx>
            <strRef>
              <f>'Weekplan'!K5</f>
            </strRef>
          </tx>
          <spPr>
            <a:ln xmlns:a="http://schemas.openxmlformats.org/drawingml/2006/main" w="28000">
              <a:solidFill>
                <a:srgbClr val="006B7F"/>
              </a:solidFill>
              <a:prstDash val="solid"/>
            </a:ln>
          </spPr>
          <marker>
            <symbol val="none"/>
            <spPr>
              <a:ln xmlns:a="http://schemas.openxmlformats.org/drawingml/2006/main">
                <a:prstDash val="solid"/>
              </a:ln>
            </spPr>
          </marker>
          <cat>
            <numRef>
              <f>'Weekplan'!$A$6:$A$57</f>
            </numRef>
          </cat>
          <val>
            <numRef>
              <f>'Weekplan'!$K$6:$K$57</f>
            </numRef>
          </val>
          <smooth val="0"/>
        </ser>
        <axId val="10"/>
        <axId val="100"/>
      </lineChart>
      <catAx>
        <axId val="10"/>
        <scaling>
          <orientation val="minMax"/>
        </scaling>
        <axPos val="l"/>
        <title>
          <tx>
            <rich>
              <a:bodyPr xmlns:a="http://schemas.openxmlformats.org/drawingml/2006/main"/>
              <a:p xmlns:a="http://schemas.openxmlformats.org/drawingml/2006/main">
                <a:pPr>
                  <a:defRPr/>
                </a:pPr>
                <a:r>
                  <a:t>Week</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Saldo (USD)</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Verschil met het weekdoel (USD) — boven nul is beter dan plan</a:t>
            </a:r>
          </a:p>
        </rich>
      </tx>
    </title>
    <plotArea>
      <barChart>
        <barDir val="col"/>
        <grouping val="clustered"/>
        <ser>
          <idx val="0"/>
          <order val="0"/>
          <tx>
            <strRef>
              <f>'Weekplan'!L5</f>
            </strRef>
          </tx>
          <spPr>
            <a:solidFill xmlns:a="http://schemas.openxmlformats.org/drawingml/2006/main">
              <a:srgbClr val="006B7F"/>
            </a:solidFill>
            <a:ln xmlns:a="http://schemas.openxmlformats.org/drawingml/2006/main">
              <a:prstDash val="solid"/>
            </a:ln>
          </spPr>
          <cat>
            <numRef>
              <f>'Weekplan'!$A$6:$A$57</f>
            </numRef>
          </cat>
          <val>
            <numRef>
              <f>'Weekplan'!$L$6:$L$57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Week</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Verschil (USD)</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col>
      <colOff>0</colOff>
      <row>16</row>
      <rowOff>0</rowOff>
    </from>
    <ext cx="8640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36</row>
      <rowOff>0</rowOff>
    </from>
    <ext cx="864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F14"/>
  <sheetViews>
    <sheetView showGridLines="0" workbookViewId="0">
      <selection activeCell="A1" sqref="A1"/>
    </sheetView>
  </sheetViews>
  <sheetFormatPr baseColWidth="8" defaultRowHeight="15"/>
  <cols>
    <col width="3" customWidth="1" min="1" max="1"/>
    <col width="26" customWidth="1" min="2" max="2"/>
    <col width="16" customWidth="1" min="3" max="3"/>
    <col width="4" customWidth="1" min="4" max="4"/>
    <col width="26" customWidth="1" min="5" max="5"/>
    <col width="16" customWidth="1" min="6" max="6"/>
    <col width="3"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s>
  <sheetData>
    <row r="2">
      <c r="B2" s="1" t="inlineStr">
        <is>
          <t>Dashboard</t>
        </is>
      </c>
    </row>
    <row r="3">
      <c r="B3" s="2" t="inlineStr">
        <is>
          <t>Alles hieronder komt uit het tabblad Weekplan. Niets invullen.</t>
        </is>
      </c>
    </row>
    <row r="5">
      <c r="B5" s="3" t="inlineStr">
        <is>
          <t>Weken ingevuld</t>
        </is>
      </c>
      <c r="C5" s="4">
        <f>COUNT(Weekplan!$H$6:$H$57)</f>
        <v/>
      </c>
      <c r="E5" s="3" t="inlineStr">
        <is>
          <t>Weken op of boven doel</t>
        </is>
      </c>
      <c r="F5" s="5">
        <f>SUMPRODUCT((Weekplan!$H$6:$H$57&lt;&gt;"")*(Weekplan!$L$6:$L$57&lt;&gt;"")*(Weekplan!$L$6:$L$57&gt;=0))</f>
        <v/>
      </c>
    </row>
    <row r="6">
      <c r="B6" s="3" t="inlineStr">
        <is>
          <t>Saldo nu (USD)</t>
        </is>
      </c>
      <c r="C6" s="6">
        <f>IFERROR(LOOKUP(2,1/(Weekplan!$K$6:$K$57&lt;&gt;""),Weekplan!$K$6:$K$57),Startkapitaal)</f>
        <v/>
      </c>
      <c r="E6" s="3" t="inlineStr">
        <is>
          <t>Weken onder doel</t>
        </is>
      </c>
      <c r="F6" s="5">
        <f>SUMPRODUCT((Weekplan!$H$6:$H$57&lt;&gt;"")*(Weekplan!$L$6:$L$57&lt;&gt;"")*(Weekplan!$L$6:$L$57&lt;0))</f>
        <v/>
      </c>
    </row>
    <row r="7">
      <c r="B7" s="3" t="inlineStr">
        <is>
          <t>Plan-saldo op dit punt (USD)</t>
        </is>
      </c>
      <c r="C7" s="6">
        <f>C6-C8</f>
        <v/>
      </c>
      <c r="E7" s="3" t="inlineStr">
        <is>
          <t>Beste week (USD)</t>
        </is>
      </c>
      <c r="F7" s="6">
        <f>IFERROR(MAX(Weekplan!$H$6:$H$57),0)</f>
        <v/>
      </c>
    </row>
    <row r="8">
      <c r="B8" s="3" t="inlineStr">
        <is>
          <t>Voor / achter op plan (USD)</t>
        </is>
      </c>
      <c r="C8" s="6">
        <f>IF(COUNT(Weekplan!$H$6:$H$57)=0,0,IFERROR(LOOKUP(2,1/(Weekplan!$M$6:$M$57&lt;&gt;""),Weekplan!$M$6:$M$57),0))</f>
        <v/>
      </c>
      <c r="E8" s="3" t="inlineStr">
        <is>
          <t>Slechtste week (USD)</t>
        </is>
      </c>
      <c r="F8" s="6">
        <f>IFERROR(MIN(Weekplan!$H$6:$H$57),0)</f>
        <v/>
      </c>
    </row>
    <row r="9">
      <c r="B9" s="3" t="inlineStr">
        <is>
          <t>Totaal resultaat (USD)</t>
        </is>
      </c>
      <c r="C9" s="6">
        <f>SUM(Weekplan!$H$6:$H$57)</f>
        <v/>
      </c>
      <c r="E9" s="3" t="inlineStr">
        <is>
          <t>Grootste drawdown (%)</t>
        </is>
      </c>
      <c r="F9" s="7">
        <f>IFERROR(MIN(Weekplan!$O$6:$O$57),0)</f>
        <v/>
      </c>
    </row>
    <row r="10">
      <c r="B10" s="3" t="inlineStr">
        <is>
          <t>Totaal resultaat (R)</t>
        </is>
      </c>
      <c r="C10" s="8">
        <f>IFERROR(SUM(Weekplan!$J$6:$J$57),0)</f>
        <v/>
      </c>
      <c r="E10" s="3" t="inlineStr">
        <is>
          <t>Nodig per resterende week (USD)</t>
        </is>
      </c>
      <c r="F10" s="6">
        <f>IFERROR(LOOKUP(2,1/(Weekplan!$P$6:$P$57&lt;&gt;""),Weekplan!$P$6:$P$57),0)</f>
        <v/>
      </c>
    </row>
    <row r="12">
      <c r="B12" s="9">
        <f>IF(COUNT(Weekplan!$H$6:$H$57)=0,"Nog geen week ingevuld. Vul op het tabblad Weekplan de kolom 'WERKELIJK resultaat (USD)' in, dan komt alles hier tot leven.",IF(C8&gt;=0,"Je ligt $"&amp;TEXT(ABS(C8),"#,##0")&amp;" VOOR op het plan na "&amp;TEXT(COUNT(Weekplan!$H$6:$H$57),"0")&amp;" weken. Niet verruimen wat werkt: zelfde risico, zelfde regels.","Je ligt $"&amp;TEXT(ABS(C8),"#,##0")&amp;" ACHTER op het plan na "&amp;TEXT(COUNT(Weekplan!$H$6:$H$57),"0")&amp;" weken. Om het jaardoel nog te halen moet je $"&amp;TEXT(F10,"#,##0")&amp;" per resterende week maken. Als dat meer dan het dubbele van je weekdoel is, is het doel het probleem en niet je uitvoering."))</f>
        <v/>
      </c>
    </row>
    <row r="13"/>
    <row r="14"/>
  </sheetData>
  <mergeCells count="1">
    <mergeCell ref="B12:F14"/>
  </mergeCells>
  <conditionalFormatting sqref="C8">
    <cfRule type="cellIs" priority="1" operator="greaterThanOrEqual" dxfId="0">
      <formula>0</formula>
    </cfRule>
    <cfRule type="cellIs" priority="2" operator="lessThan" dxfId="1">
      <formula>0</formula>
    </cfRule>
  </conditionalFormatting>
  <conditionalFormatting sqref="C9:C10">
    <cfRule type="cellIs" priority="3" operator="lessThan" dxfId="1">
      <formula>0</formula>
    </cfRule>
  </conditionalFormatting>
  <conditionalFormatting sqref="B12:F14">
    <cfRule type="expression" priority="4" dxfId="2">
      <formula>$C$8&gt;=0</formula>
    </cfRule>
    <cfRule type="expression" priority="5" dxfId="3">
      <formula>$C$8&lt;0</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B2:F19"/>
  <sheetViews>
    <sheetView showGridLines="0" workbookViewId="0">
      <selection activeCell="A1" sqref="A1"/>
    </sheetView>
  </sheetViews>
  <sheetFormatPr baseColWidth="8" defaultRowHeight="15"/>
  <cols>
    <col width="3" customWidth="1" min="1" max="1"/>
    <col width="42" customWidth="1" min="2" max="2"/>
    <col width="18" customWidth="1" min="3" max="3"/>
    <col width="4" customWidth="1" min="4" max="4"/>
    <col width="44" customWidth="1" min="5" max="5"/>
    <col width="18" customWidth="1" min="6" max="6"/>
  </cols>
  <sheetData>
    <row r="2">
      <c r="B2" s="1" t="inlineStr">
        <is>
          <t>Jaarplan eigen account</t>
        </is>
      </c>
    </row>
    <row r="3">
      <c r="B3" s="2" t="inlineStr">
        <is>
          <t>Vul de gele vakken in. De rest rekent zichzelf uit.</t>
        </is>
      </c>
    </row>
    <row r="5">
      <c r="B5" s="10" t="inlineStr">
        <is>
          <t>KAPITAAL EN RISICO</t>
        </is>
      </c>
      <c r="E5" s="10" t="inlineStr">
        <is>
          <t>WAT DIT DOEL BETEKENT</t>
        </is>
      </c>
    </row>
    <row r="6">
      <c r="B6" s="11" t="inlineStr">
        <is>
          <t>Startkapitaal (USD)</t>
        </is>
      </c>
      <c r="C6" s="12" t="n">
        <v>1000</v>
      </c>
      <c r="E6" s="3" t="inlineStr">
        <is>
          <t>1R bij start (USD)</t>
        </is>
      </c>
      <c r="F6" s="13">
        <f>IF(RisicoModus="Vast bedrag",RisicoUSD,Startkapitaal*RisicoPct)</f>
        <v/>
      </c>
    </row>
    <row r="7">
      <c r="B7" s="11" t="inlineStr">
        <is>
          <t>Risico per trade — manier van rekenen</t>
        </is>
      </c>
      <c r="C7" s="14" t="inlineStr">
        <is>
          <t>Vast bedrag</t>
        </is>
      </c>
      <c r="E7" s="3" t="inlineStr">
        <is>
          <t>Weekdoel bij start (USD)</t>
        </is>
      </c>
      <c r="F7" s="13">
        <f>IF(DoelModus="Vast bedrag",DoelUSD,Startkapitaal*DoelPct)</f>
        <v/>
      </c>
    </row>
    <row r="8">
      <c r="B8" s="11" t="inlineStr">
        <is>
          <t>Risico per trade (USD) — bij 'Vast bedrag'</t>
        </is>
      </c>
      <c r="C8" s="12" t="n">
        <v>10</v>
      </c>
      <c r="E8" s="3" t="inlineStr">
        <is>
          <t>Weekdoel in R — dit is het echte getal</t>
        </is>
      </c>
      <c r="F8" s="15">
        <f>IFERROR(F7/F6,0)</f>
        <v/>
      </c>
    </row>
    <row r="9">
      <c r="B9" s="11" t="inlineStr">
        <is>
          <t>Risico per trade (% van saldo) — bij 'Percentage'</t>
        </is>
      </c>
      <c r="C9" s="16" t="n">
        <v>0.01</v>
      </c>
      <c r="E9" s="3" t="inlineStr">
        <is>
          <t>Jaardoel (R over alle handelsweken)</t>
        </is>
      </c>
      <c r="F9" s="17">
        <f>F8*Handelsweken</f>
        <v/>
      </c>
    </row>
    <row r="10">
      <c r="E10" s="3" t="inlineStr">
        <is>
          <t>Verwacht eindsaldo volgens plan (USD)</t>
        </is>
      </c>
      <c r="F10" s="13">
        <f>Weekplan!G57</f>
        <v/>
      </c>
    </row>
    <row r="11">
      <c r="B11" s="10" t="inlineStr">
        <is>
          <t>DOEL</t>
        </is>
      </c>
      <c r="E11" s="3" t="inlineStr">
        <is>
          <t>Rendement over het jaar (%)</t>
        </is>
      </c>
      <c r="F11" s="18">
        <f>IFERROR(F10/Startkapitaal-1,0)</f>
        <v/>
      </c>
    </row>
    <row r="12">
      <c r="B12" s="11" t="inlineStr">
        <is>
          <t>Weekdoel — manier van rekenen</t>
        </is>
      </c>
      <c r="C12" s="14" t="inlineStr">
        <is>
          <t>Vast bedrag</t>
        </is>
      </c>
    </row>
    <row r="13">
      <c r="B13" s="11" t="inlineStr">
        <is>
          <t>Weekdoel (USD) — bij 'Vast bedrag'</t>
        </is>
      </c>
      <c r="C13" s="12" t="n">
        <v>20</v>
      </c>
      <c r="E13" s="10" t="inlineStr">
        <is>
          <t>REALITEITSTOETS</t>
        </is>
      </c>
    </row>
    <row r="14">
      <c r="B14" s="11" t="inlineStr">
        <is>
          <t>Weekdoel (% van saldo) — bij 'Percentage'</t>
        </is>
      </c>
      <c r="C14" s="16" t="n">
        <v>0.02</v>
      </c>
      <c r="E14" s="19">
        <f>IF(F8&lt;=1,"CONSERVATIEF — "&amp;TEXT(F8,"0.00")&amp;" R per week. Haalbaar met een bescheiden edge. Dit is het niveau waarop je rustig kunt handelen.",IF(F8&lt;=2,"AMBITIEUS — "&amp;TEXT(F8,"0.00")&amp;" R per week, oftewel "&amp;TEXT(F9,"0")&amp;" R per jaar. Haalbaar, maar alleen met een bewezen systeem en strakke uitvoering.",IF(F8&lt;=4,"ZEER AMBITIEUS — "&amp;TEXT(F8,"0.00")&amp;" R per week. Weinig traders halen dit jaar in jaar uit. Overweeg het doel te halveren.","ONREALISTISCH — "&amp;TEXT(F8,"0.00")&amp;" R per week. Dit doel dwingt je tot grotere posities zodra je achterloopt, en dat is precies hoe accounts leeglopen. Verlaag het doel of verhoog je risico per trade niet.")))</f>
        <v/>
      </c>
    </row>
    <row r="15"/>
    <row r="16">
      <c r="B16" s="10" t="inlineStr">
        <is>
          <t>GRENZEN EN KALENDER</t>
        </is>
      </c>
    </row>
    <row r="17">
      <c r="B17" s="11" t="inlineStr">
        <is>
          <t>Max verlies per week (R) — daarna stoppen</t>
        </is>
      </c>
      <c r="C17" s="20" t="n">
        <v>3</v>
      </c>
    </row>
    <row r="18">
      <c r="B18" s="11" t="inlineStr">
        <is>
          <t>Eerste handelsweek begint op (maandag)</t>
        </is>
      </c>
      <c r="C18" s="21" t="n">
        <v>46314</v>
      </c>
    </row>
    <row r="19">
      <c r="B19" s="11" t="inlineStr">
        <is>
          <t>Aantal handelsweken in het jaar</t>
        </is>
      </c>
      <c r="C19" s="22" t="n">
        <v>48</v>
      </c>
      <c r="E19" s="3" t="inlineStr">
        <is>
          <t>Max verlies per week in geld (USD)</t>
        </is>
      </c>
      <c r="F19" s="23">
        <f>F6*MaxWeekverliesR</f>
        <v/>
      </c>
    </row>
  </sheetData>
  <mergeCells count="1">
    <mergeCell ref="E14:F17"/>
  </mergeCells>
  <conditionalFormatting sqref="E14:F17">
    <cfRule type="expression" priority="1" dxfId="2">
      <formula>$F$8&lt;=1</formula>
    </cfRule>
    <cfRule type="expression" priority="2" dxfId="2">
      <formula>$F$8&lt;=2</formula>
    </cfRule>
    <cfRule type="expression" priority="3" dxfId="3">
      <formula>$F$8&lt;=4</formula>
    </cfRule>
    <cfRule type="expression" priority="4" dxfId="4">
      <formula>$F$8&gt;4</formula>
    </cfRule>
  </conditionalFormatting>
  <dataValidations count="1">
    <dataValidation sqref="C7 C12" showDropDown="0" showInputMessage="0" showErrorMessage="0" allowBlank="0" type="list">
      <formula1>"Vast bedrag,Percentage"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57"/>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11" customWidth="1" min="2" max="2"/>
    <col width="14" customWidth="1" min="3" max="3"/>
    <col width="14" customWidth="1" min="4" max="4"/>
    <col width="14" customWidth="1" min="5" max="5"/>
    <col width="13" customWidth="1" min="6" max="6"/>
    <col width="14" customWidth="1" min="7" max="7"/>
    <col width="14" customWidth="1" min="8" max="8"/>
    <col width="12" customWidth="1" min="9" max="9"/>
    <col width="13" customWidth="1" min="10" max="10"/>
    <col width="14" customWidth="1" min="11" max="11"/>
    <col width="13" customWidth="1" min="12" max="12"/>
    <col width="14" customWidth="1" min="13" max="13"/>
    <col width="20" customWidth="1" min="14" max="14"/>
    <col width="12" customWidth="1" min="15" max="15"/>
    <col width="16" customWidth="1" min="16" max="16"/>
  </cols>
  <sheetData>
    <row r="1">
      <c r="A1" s="1" t="inlineStr">
        <is>
          <t>Weekplan — 52 weken</t>
        </is>
      </c>
    </row>
    <row r="2">
      <c r="A2" s="2" t="inlineStr">
        <is>
          <t>Alleen de gele kolommen invullen: wat je die week werkelijk hebt gemaakt, en hoeveel trades.</t>
        </is>
      </c>
    </row>
    <row r="3">
      <c r="A3" s="2" t="inlineStr">
        <is>
          <t>Laat een week leeg als je niet hebt gehandeld. De rest rekent mee.</t>
        </is>
      </c>
    </row>
    <row r="5" ht="42" customHeight="1">
      <c r="A5" s="24" t="inlineStr">
        <is>
          <t>Week</t>
        </is>
      </c>
      <c r="B5" s="24" t="inlineStr">
        <is>
          <t>Week van</t>
        </is>
      </c>
      <c r="C5" s="24" t="inlineStr">
        <is>
          <t>PLAN
saldo begin (USD)</t>
        </is>
      </c>
      <c r="D5" s="24" t="inlineStr">
        <is>
          <t>PLAN
1R deze week (USD)</t>
        </is>
      </c>
      <c r="E5" s="24" t="inlineStr">
        <is>
          <t>PLAN
doel deze week (USD)</t>
        </is>
      </c>
      <c r="F5" s="24" t="inlineStr">
        <is>
          <t>PLAN
doel deze week (R)</t>
        </is>
      </c>
      <c r="G5" s="24" t="inlineStr">
        <is>
          <t>PLAN
saldo eind (USD)</t>
        </is>
      </c>
      <c r="H5" s="24" t="inlineStr">
        <is>
          <t>WERKELIJK
resultaat (USD)</t>
        </is>
      </c>
      <c r="I5" s="24" t="inlineStr">
        <is>
          <t>WERKELIJK
aantal trades</t>
        </is>
      </c>
      <c r="J5" s="24" t="inlineStr">
        <is>
          <t>WERKELIJK
resultaat (R)</t>
        </is>
      </c>
      <c r="K5" s="24" t="inlineStr">
        <is>
          <t>WERKELIJK
saldo eind (USD)</t>
        </is>
      </c>
      <c r="L5" s="24" t="inlineStr">
        <is>
          <t>Verschil
deze week (USD)</t>
        </is>
      </c>
      <c r="M5" s="24" t="inlineStr">
        <is>
          <t>Cumulatief
voor/achter (USD)</t>
        </is>
      </c>
      <c r="N5" s="24" t="inlineStr">
        <is>
          <t>Status</t>
        </is>
      </c>
      <c r="O5" s="24" t="inlineStr">
        <is>
          <t>Drawdown
vanaf piek (%)</t>
        </is>
      </c>
      <c r="P5" s="24" t="inlineStr">
        <is>
          <t>Nodig per
resterende week (USD)</t>
        </is>
      </c>
    </row>
    <row r="6">
      <c r="A6" s="25" t="n">
        <v>1</v>
      </c>
      <c r="B6" s="26">
        <f>Startdatum+0</f>
        <v/>
      </c>
      <c r="C6" s="27">
        <f>Startkapitaal</f>
        <v/>
      </c>
      <c r="D6" s="27">
        <f>IF(RisicoModus="Vast bedrag",RisicoUSD,C6*RisicoPct)</f>
        <v/>
      </c>
      <c r="E6" s="27">
        <f>IF(1&gt;Handelsweken,0,IF(DoelModus="Vast bedrag",DoelUSD,C6*DoelPct))</f>
        <v/>
      </c>
      <c r="F6" s="28">
        <f>IFERROR(E6/D6,0)</f>
        <v/>
      </c>
      <c r="G6" s="27">
        <f>C6+E6</f>
        <v/>
      </c>
      <c r="H6" s="12" t="n"/>
      <c r="I6" s="29" t="n"/>
      <c r="J6" s="30">
        <f>IF(H6="","",IFERROR(H6/D6,0))</f>
        <v/>
      </c>
      <c r="K6" s="31">
        <f>IF(OR(COUNT($H$6:H6)=0,COUNT(H6:$H$57)=0),"",Startkapitaal+SUM($H$6:H6))</f>
        <v/>
      </c>
      <c r="L6" s="31">
        <f>IF(H6="","",H6-E6)</f>
        <v/>
      </c>
      <c r="M6" s="31">
        <f>IF(K6="","",K6-G6)</f>
        <v/>
      </c>
      <c r="N6" s="32">
        <f>IF(K6="","nog niet ingevuld",IF(M6&gt;=E6,"VOOR op schema",IF(M6&gt;=0,"op schema",IF(M6&gt;=-E6,"iets achter","ACHTER op schema"))))</f>
        <v/>
      </c>
      <c r="O6" s="33">
        <f>IF(K6="","",IFERROR(K6/MAX(Startkapitaal,MAX($K$6:K6))-1,0))</f>
        <v/>
      </c>
      <c r="P6" s="31">
        <f>IF(K6="","",IF(1&gt;=Handelsweken,0,MAX(0,($G$57-K6)/(Handelsweken-1))))</f>
        <v/>
      </c>
    </row>
    <row r="7">
      <c r="A7" s="25" t="n">
        <v>2</v>
      </c>
      <c r="B7" s="26">
        <f>Startdatum+7</f>
        <v/>
      </c>
      <c r="C7" s="27">
        <f>G6</f>
        <v/>
      </c>
      <c r="D7" s="27">
        <f>IF(RisicoModus="Vast bedrag",RisicoUSD,C7*RisicoPct)</f>
        <v/>
      </c>
      <c r="E7" s="27">
        <f>IF(2&gt;Handelsweken,0,IF(DoelModus="Vast bedrag",DoelUSD,C7*DoelPct))</f>
        <v/>
      </c>
      <c r="F7" s="28">
        <f>IFERROR(E7/D7,0)</f>
        <v/>
      </c>
      <c r="G7" s="27">
        <f>C7+E7</f>
        <v/>
      </c>
      <c r="H7" s="12" t="n"/>
      <c r="I7" s="29" t="n"/>
      <c r="J7" s="30">
        <f>IF(H7="","",IFERROR(H7/D7,0))</f>
        <v/>
      </c>
      <c r="K7" s="31">
        <f>IF(OR(COUNT($H$6:H7)=0,COUNT(H7:$H$57)=0),"",Startkapitaal+SUM($H$6:H7))</f>
        <v/>
      </c>
      <c r="L7" s="31">
        <f>IF(H7="","",H7-E7)</f>
        <v/>
      </c>
      <c r="M7" s="31">
        <f>IF(K7="","",K7-G7)</f>
        <v/>
      </c>
      <c r="N7" s="32">
        <f>IF(K7="","nog niet ingevuld",IF(M7&gt;=E7,"VOOR op schema",IF(M7&gt;=0,"op schema",IF(M7&gt;=-E7,"iets achter","ACHTER op schema"))))</f>
        <v/>
      </c>
      <c r="O7" s="33">
        <f>IF(K7="","",IFERROR(K7/MAX(Startkapitaal,MAX($K$6:K7))-1,0))</f>
        <v/>
      </c>
      <c r="P7" s="31">
        <f>IF(K7="","",IF(2&gt;=Handelsweken,0,MAX(0,($G$57-K7)/(Handelsweken-2))))</f>
        <v/>
      </c>
    </row>
    <row r="8">
      <c r="A8" s="25" t="n">
        <v>3</v>
      </c>
      <c r="B8" s="26">
        <f>Startdatum+14</f>
        <v/>
      </c>
      <c r="C8" s="27">
        <f>G7</f>
        <v/>
      </c>
      <c r="D8" s="27">
        <f>IF(RisicoModus="Vast bedrag",RisicoUSD,C8*RisicoPct)</f>
        <v/>
      </c>
      <c r="E8" s="27">
        <f>IF(3&gt;Handelsweken,0,IF(DoelModus="Vast bedrag",DoelUSD,C8*DoelPct))</f>
        <v/>
      </c>
      <c r="F8" s="28">
        <f>IFERROR(E8/D8,0)</f>
        <v/>
      </c>
      <c r="G8" s="27">
        <f>C8+E8</f>
        <v/>
      </c>
      <c r="H8" s="12" t="n"/>
      <c r="I8" s="29" t="n"/>
      <c r="J8" s="30">
        <f>IF(H8="","",IFERROR(H8/D8,0))</f>
        <v/>
      </c>
      <c r="K8" s="31">
        <f>IF(OR(COUNT($H$6:H8)=0,COUNT(H8:$H$57)=0),"",Startkapitaal+SUM($H$6:H8))</f>
        <v/>
      </c>
      <c r="L8" s="31">
        <f>IF(H8="","",H8-E8)</f>
        <v/>
      </c>
      <c r="M8" s="31">
        <f>IF(K8="","",K8-G8)</f>
        <v/>
      </c>
      <c r="N8" s="32">
        <f>IF(K8="","nog niet ingevuld",IF(M8&gt;=E8,"VOOR op schema",IF(M8&gt;=0,"op schema",IF(M8&gt;=-E8,"iets achter","ACHTER op schema"))))</f>
        <v/>
      </c>
      <c r="O8" s="33">
        <f>IF(K8="","",IFERROR(K8/MAX(Startkapitaal,MAX($K$6:K8))-1,0))</f>
        <v/>
      </c>
      <c r="P8" s="31">
        <f>IF(K8="","",IF(3&gt;=Handelsweken,0,MAX(0,($G$57-K8)/(Handelsweken-3))))</f>
        <v/>
      </c>
    </row>
    <row r="9">
      <c r="A9" s="25" t="n">
        <v>4</v>
      </c>
      <c r="B9" s="26">
        <f>Startdatum+21</f>
        <v/>
      </c>
      <c r="C9" s="27">
        <f>G8</f>
        <v/>
      </c>
      <c r="D9" s="27">
        <f>IF(RisicoModus="Vast bedrag",RisicoUSD,C9*RisicoPct)</f>
        <v/>
      </c>
      <c r="E9" s="27">
        <f>IF(4&gt;Handelsweken,0,IF(DoelModus="Vast bedrag",DoelUSD,C9*DoelPct))</f>
        <v/>
      </c>
      <c r="F9" s="28">
        <f>IFERROR(E9/D9,0)</f>
        <v/>
      </c>
      <c r="G9" s="27">
        <f>C9+E9</f>
        <v/>
      </c>
      <c r="H9" s="12" t="n"/>
      <c r="I9" s="29" t="n"/>
      <c r="J9" s="30">
        <f>IF(H9="","",IFERROR(H9/D9,0))</f>
        <v/>
      </c>
      <c r="K9" s="31">
        <f>IF(OR(COUNT($H$6:H9)=0,COUNT(H9:$H$57)=0),"",Startkapitaal+SUM($H$6:H9))</f>
        <v/>
      </c>
      <c r="L9" s="31">
        <f>IF(H9="","",H9-E9)</f>
        <v/>
      </c>
      <c r="M9" s="31">
        <f>IF(K9="","",K9-G9)</f>
        <v/>
      </c>
      <c r="N9" s="32">
        <f>IF(K9="","nog niet ingevuld",IF(M9&gt;=E9,"VOOR op schema",IF(M9&gt;=0,"op schema",IF(M9&gt;=-E9,"iets achter","ACHTER op schema"))))</f>
        <v/>
      </c>
      <c r="O9" s="33">
        <f>IF(K9="","",IFERROR(K9/MAX(Startkapitaal,MAX($K$6:K9))-1,0))</f>
        <v/>
      </c>
      <c r="P9" s="31">
        <f>IF(K9="","",IF(4&gt;=Handelsweken,0,MAX(0,($G$57-K9)/(Handelsweken-4))))</f>
        <v/>
      </c>
    </row>
    <row r="10">
      <c r="A10" s="25" t="n">
        <v>5</v>
      </c>
      <c r="B10" s="26">
        <f>Startdatum+28</f>
        <v/>
      </c>
      <c r="C10" s="27">
        <f>G9</f>
        <v/>
      </c>
      <c r="D10" s="27">
        <f>IF(RisicoModus="Vast bedrag",RisicoUSD,C10*RisicoPct)</f>
        <v/>
      </c>
      <c r="E10" s="27">
        <f>IF(5&gt;Handelsweken,0,IF(DoelModus="Vast bedrag",DoelUSD,C10*DoelPct))</f>
        <v/>
      </c>
      <c r="F10" s="28">
        <f>IFERROR(E10/D10,0)</f>
        <v/>
      </c>
      <c r="G10" s="27">
        <f>C10+E10</f>
        <v/>
      </c>
      <c r="H10" s="12" t="n"/>
      <c r="I10" s="29" t="n"/>
      <c r="J10" s="30">
        <f>IF(H10="","",IFERROR(H10/D10,0))</f>
        <v/>
      </c>
      <c r="K10" s="31">
        <f>IF(OR(COUNT($H$6:H10)=0,COUNT(H10:$H$57)=0),"",Startkapitaal+SUM($H$6:H10))</f>
        <v/>
      </c>
      <c r="L10" s="31">
        <f>IF(H10="","",H10-E10)</f>
        <v/>
      </c>
      <c r="M10" s="31">
        <f>IF(K10="","",K10-G10)</f>
        <v/>
      </c>
      <c r="N10" s="32">
        <f>IF(K10="","nog niet ingevuld",IF(M10&gt;=E10,"VOOR op schema",IF(M10&gt;=0,"op schema",IF(M10&gt;=-E10,"iets achter","ACHTER op schema"))))</f>
        <v/>
      </c>
      <c r="O10" s="33">
        <f>IF(K10="","",IFERROR(K10/MAX(Startkapitaal,MAX($K$6:K10))-1,0))</f>
        <v/>
      </c>
      <c r="P10" s="31">
        <f>IF(K10="","",IF(5&gt;=Handelsweken,0,MAX(0,($G$57-K10)/(Handelsweken-5))))</f>
        <v/>
      </c>
    </row>
    <row r="11">
      <c r="A11" s="25" t="n">
        <v>6</v>
      </c>
      <c r="B11" s="26">
        <f>Startdatum+35</f>
        <v/>
      </c>
      <c r="C11" s="27">
        <f>G10</f>
        <v/>
      </c>
      <c r="D11" s="27">
        <f>IF(RisicoModus="Vast bedrag",RisicoUSD,C11*RisicoPct)</f>
        <v/>
      </c>
      <c r="E11" s="27">
        <f>IF(6&gt;Handelsweken,0,IF(DoelModus="Vast bedrag",DoelUSD,C11*DoelPct))</f>
        <v/>
      </c>
      <c r="F11" s="28">
        <f>IFERROR(E11/D11,0)</f>
        <v/>
      </c>
      <c r="G11" s="27">
        <f>C11+E11</f>
        <v/>
      </c>
      <c r="H11" s="12" t="n"/>
      <c r="I11" s="29" t="n"/>
      <c r="J11" s="30">
        <f>IF(H11="","",IFERROR(H11/D11,0))</f>
        <v/>
      </c>
      <c r="K11" s="31">
        <f>IF(OR(COUNT($H$6:H11)=0,COUNT(H11:$H$57)=0),"",Startkapitaal+SUM($H$6:H11))</f>
        <v/>
      </c>
      <c r="L11" s="31">
        <f>IF(H11="","",H11-E11)</f>
        <v/>
      </c>
      <c r="M11" s="31">
        <f>IF(K11="","",K11-G11)</f>
        <v/>
      </c>
      <c r="N11" s="32">
        <f>IF(K11="","nog niet ingevuld",IF(M11&gt;=E11,"VOOR op schema",IF(M11&gt;=0,"op schema",IF(M11&gt;=-E11,"iets achter","ACHTER op schema"))))</f>
        <v/>
      </c>
      <c r="O11" s="33">
        <f>IF(K11="","",IFERROR(K11/MAX(Startkapitaal,MAX($K$6:K11))-1,0))</f>
        <v/>
      </c>
      <c r="P11" s="31">
        <f>IF(K11="","",IF(6&gt;=Handelsweken,0,MAX(0,($G$57-K11)/(Handelsweken-6))))</f>
        <v/>
      </c>
    </row>
    <row r="12">
      <c r="A12" s="25" t="n">
        <v>7</v>
      </c>
      <c r="B12" s="26">
        <f>Startdatum+42</f>
        <v/>
      </c>
      <c r="C12" s="27">
        <f>G11</f>
        <v/>
      </c>
      <c r="D12" s="27">
        <f>IF(RisicoModus="Vast bedrag",RisicoUSD,C12*RisicoPct)</f>
        <v/>
      </c>
      <c r="E12" s="27">
        <f>IF(7&gt;Handelsweken,0,IF(DoelModus="Vast bedrag",DoelUSD,C12*DoelPct))</f>
        <v/>
      </c>
      <c r="F12" s="28">
        <f>IFERROR(E12/D12,0)</f>
        <v/>
      </c>
      <c r="G12" s="27">
        <f>C12+E12</f>
        <v/>
      </c>
      <c r="H12" s="12" t="n"/>
      <c r="I12" s="29" t="n"/>
      <c r="J12" s="30">
        <f>IF(H12="","",IFERROR(H12/D12,0))</f>
        <v/>
      </c>
      <c r="K12" s="31">
        <f>IF(OR(COUNT($H$6:H12)=0,COUNT(H12:$H$57)=0),"",Startkapitaal+SUM($H$6:H12))</f>
        <v/>
      </c>
      <c r="L12" s="31">
        <f>IF(H12="","",H12-E12)</f>
        <v/>
      </c>
      <c r="M12" s="31">
        <f>IF(K12="","",K12-G12)</f>
        <v/>
      </c>
      <c r="N12" s="32">
        <f>IF(K12="","nog niet ingevuld",IF(M12&gt;=E12,"VOOR op schema",IF(M12&gt;=0,"op schema",IF(M12&gt;=-E12,"iets achter","ACHTER op schema"))))</f>
        <v/>
      </c>
      <c r="O12" s="33">
        <f>IF(K12="","",IFERROR(K12/MAX(Startkapitaal,MAX($K$6:K12))-1,0))</f>
        <v/>
      </c>
      <c r="P12" s="31">
        <f>IF(K12="","",IF(7&gt;=Handelsweken,0,MAX(0,($G$57-K12)/(Handelsweken-7))))</f>
        <v/>
      </c>
    </row>
    <row r="13">
      <c r="A13" s="25" t="n">
        <v>8</v>
      </c>
      <c r="B13" s="26">
        <f>Startdatum+49</f>
        <v/>
      </c>
      <c r="C13" s="27">
        <f>G12</f>
        <v/>
      </c>
      <c r="D13" s="27">
        <f>IF(RisicoModus="Vast bedrag",RisicoUSD,C13*RisicoPct)</f>
        <v/>
      </c>
      <c r="E13" s="27">
        <f>IF(8&gt;Handelsweken,0,IF(DoelModus="Vast bedrag",DoelUSD,C13*DoelPct))</f>
        <v/>
      </c>
      <c r="F13" s="28">
        <f>IFERROR(E13/D13,0)</f>
        <v/>
      </c>
      <c r="G13" s="27">
        <f>C13+E13</f>
        <v/>
      </c>
      <c r="H13" s="12" t="n"/>
      <c r="I13" s="29" t="n"/>
      <c r="J13" s="30">
        <f>IF(H13="","",IFERROR(H13/D13,0))</f>
        <v/>
      </c>
      <c r="K13" s="31">
        <f>IF(OR(COUNT($H$6:H13)=0,COUNT(H13:$H$57)=0),"",Startkapitaal+SUM($H$6:H13))</f>
        <v/>
      </c>
      <c r="L13" s="31">
        <f>IF(H13="","",H13-E13)</f>
        <v/>
      </c>
      <c r="M13" s="31">
        <f>IF(K13="","",K13-G13)</f>
        <v/>
      </c>
      <c r="N13" s="32">
        <f>IF(K13="","nog niet ingevuld",IF(M13&gt;=E13,"VOOR op schema",IF(M13&gt;=0,"op schema",IF(M13&gt;=-E13,"iets achter","ACHTER op schema"))))</f>
        <v/>
      </c>
      <c r="O13" s="33">
        <f>IF(K13="","",IFERROR(K13/MAX(Startkapitaal,MAX($K$6:K13))-1,0))</f>
        <v/>
      </c>
      <c r="P13" s="31">
        <f>IF(K13="","",IF(8&gt;=Handelsweken,0,MAX(0,($G$57-K13)/(Handelsweken-8))))</f>
        <v/>
      </c>
    </row>
    <row r="14">
      <c r="A14" s="25" t="n">
        <v>9</v>
      </c>
      <c r="B14" s="26">
        <f>Startdatum+56</f>
        <v/>
      </c>
      <c r="C14" s="27">
        <f>G13</f>
        <v/>
      </c>
      <c r="D14" s="27">
        <f>IF(RisicoModus="Vast bedrag",RisicoUSD,C14*RisicoPct)</f>
        <v/>
      </c>
      <c r="E14" s="27">
        <f>IF(9&gt;Handelsweken,0,IF(DoelModus="Vast bedrag",DoelUSD,C14*DoelPct))</f>
        <v/>
      </c>
      <c r="F14" s="28">
        <f>IFERROR(E14/D14,0)</f>
        <v/>
      </c>
      <c r="G14" s="27">
        <f>C14+E14</f>
        <v/>
      </c>
      <c r="H14" s="12" t="n"/>
      <c r="I14" s="29" t="n"/>
      <c r="J14" s="30">
        <f>IF(H14="","",IFERROR(H14/D14,0))</f>
        <v/>
      </c>
      <c r="K14" s="31">
        <f>IF(OR(COUNT($H$6:H14)=0,COUNT(H14:$H$57)=0),"",Startkapitaal+SUM($H$6:H14))</f>
        <v/>
      </c>
      <c r="L14" s="31">
        <f>IF(H14="","",H14-E14)</f>
        <v/>
      </c>
      <c r="M14" s="31">
        <f>IF(K14="","",K14-G14)</f>
        <v/>
      </c>
      <c r="N14" s="32">
        <f>IF(K14="","nog niet ingevuld",IF(M14&gt;=E14,"VOOR op schema",IF(M14&gt;=0,"op schema",IF(M14&gt;=-E14,"iets achter","ACHTER op schema"))))</f>
        <v/>
      </c>
      <c r="O14" s="33">
        <f>IF(K14="","",IFERROR(K14/MAX(Startkapitaal,MAX($K$6:K14))-1,0))</f>
        <v/>
      </c>
      <c r="P14" s="31">
        <f>IF(K14="","",IF(9&gt;=Handelsweken,0,MAX(0,($G$57-K14)/(Handelsweken-9))))</f>
        <v/>
      </c>
    </row>
    <row r="15">
      <c r="A15" s="25" t="n">
        <v>10</v>
      </c>
      <c r="B15" s="26">
        <f>Startdatum+63</f>
        <v/>
      </c>
      <c r="C15" s="27">
        <f>G14</f>
        <v/>
      </c>
      <c r="D15" s="27">
        <f>IF(RisicoModus="Vast bedrag",RisicoUSD,C15*RisicoPct)</f>
        <v/>
      </c>
      <c r="E15" s="27">
        <f>IF(10&gt;Handelsweken,0,IF(DoelModus="Vast bedrag",DoelUSD,C15*DoelPct))</f>
        <v/>
      </c>
      <c r="F15" s="28">
        <f>IFERROR(E15/D15,0)</f>
        <v/>
      </c>
      <c r="G15" s="27">
        <f>C15+E15</f>
        <v/>
      </c>
      <c r="H15" s="12" t="n"/>
      <c r="I15" s="29" t="n"/>
      <c r="J15" s="30">
        <f>IF(H15="","",IFERROR(H15/D15,0))</f>
        <v/>
      </c>
      <c r="K15" s="31">
        <f>IF(OR(COUNT($H$6:H15)=0,COUNT(H15:$H$57)=0),"",Startkapitaal+SUM($H$6:H15))</f>
        <v/>
      </c>
      <c r="L15" s="31">
        <f>IF(H15="","",H15-E15)</f>
        <v/>
      </c>
      <c r="M15" s="31">
        <f>IF(K15="","",K15-G15)</f>
        <v/>
      </c>
      <c r="N15" s="32">
        <f>IF(K15="","nog niet ingevuld",IF(M15&gt;=E15,"VOOR op schema",IF(M15&gt;=0,"op schema",IF(M15&gt;=-E15,"iets achter","ACHTER op schema"))))</f>
        <v/>
      </c>
      <c r="O15" s="33">
        <f>IF(K15="","",IFERROR(K15/MAX(Startkapitaal,MAX($K$6:K15))-1,0))</f>
        <v/>
      </c>
      <c r="P15" s="31">
        <f>IF(K15="","",IF(10&gt;=Handelsweken,0,MAX(0,($G$57-K15)/(Handelsweken-10))))</f>
        <v/>
      </c>
    </row>
    <row r="16">
      <c r="A16" s="25" t="n">
        <v>11</v>
      </c>
      <c r="B16" s="26">
        <f>Startdatum+70</f>
        <v/>
      </c>
      <c r="C16" s="27">
        <f>G15</f>
        <v/>
      </c>
      <c r="D16" s="27">
        <f>IF(RisicoModus="Vast bedrag",RisicoUSD,C16*RisicoPct)</f>
        <v/>
      </c>
      <c r="E16" s="27">
        <f>IF(11&gt;Handelsweken,0,IF(DoelModus="Vast bedrag",DoelUSD,C16*DoelPct))</f>
        <v/>
      </c>
      <c r="F16" s="28">
        <f>IFERROR(E16/D16,0)</f>
        <v/>
      </c>
      <c r="G16" s="27">
        <f>C16+E16</f>
        <v/>
      </c>
      <c r="H16" s="12" t="n"/>
      <c r="I16" s="29" t="n"/>
      <c r="J16" s="30">
        <f>IF(H16="","",IFERROR(H16/D16,0))</f>
        <v/>
      </c>
      <c r="K16" s="31">
        <f>IF(OR(COUNT($H$6:H16)=0,COUNT(H16:$H$57)=0),"",Startkapitaal+SUM($H$6:H16))</f>
        <v/>
      </c>
      <c r="L16" s="31">
        <f>IF(H16="","",H16-E16)</f>
        <v/>
      </c>
      <c r="M16" s="31">
        <f>IF(K16="","",K16-G16)</f>
        <v/>
      </c>
      <c r="N16" s="32">
        <f>IF(K16="","nog niet ingevuld",IF(M16&gt;=E16,"VOOR op schema",IF(M16&gt;=0,"op schema",IF(M16&gt;=-E16,"iets achter","ACHTER op schema"))))</f>
        <v/>
      </c>
      <c r="O16" s="33">
        <f>IF(K16="","",IFERROR(K16/MAX(Startkapitaal,MAX($K$6:K16))-1,0))</f>
        <v/>
      </c>
      <c r="P16" s="31">
        <f>IF(K16="","",IF(11&gt;=Handelsweken,0,MAX(0,($G$57-K16)/(Handelsweken-11))))</f>
        <v/>
      </c>
    </row>
    <row r="17">
      <c r="A17" s="25" t="n">
        <v>12</v>
      </c>
      <c r="B17" s="26">
        <f>Startdatum+77</f>
        <v/>
      </c>
      <c r="C17" s="27">
        <f>G16</f>
        <v/>
      </c>
      <c r="D17" s="27">
        <f>IF(RisicoModus="Vast bedrag",RisicoUSD,C17*RisicoPct)</f>
        <v/>
      </c>
      <c r="E17" s="27">
        <f>IF(12&gt;Handelsweken,0,IF(DoelModus="Vast bedrag",DoelUSD,C17*DoelPct))</f>
        <v/>
      </c>
      <c r="F17" s="28">
        <f>IFERROR(E17/D17,0)</f>
        <v/>
      </c>
      <c r="G17" s="27">
        <f>C17+E17</f>
        <v/>
      </c>
      <c r="H17" s="12" t="n"/>
      <c r="I17" s="29" t="n"/>
      <c r="J17" s="30">
        <f>IF(H17="","",IFERROR(H17/D17,0))</f>
        <v/>
      </c>
      <c r="K17" s="31">
        <f>IF(OR(COUNT($H$6:H17)=0,COUNT(H17:$H$57)=0),"",Startkapitaal+SUM($H$6:H17))</f>
        <v/>
      </c>
      <c r="L17" s="31">
        <f>IF(H17="","",H17-E17)</f>
        <v/>
      </c>
      <c r="M17" s="31">
        <f>IF(K17="","",K17-G17)</f>
        <v/>
      </c>
      <c r="N17" s="32">
        <f>IF(K17="","nog niet ingevuld",IF(M17&gt;=E17,"VOOR op schema",IF(M17&gt;=0,"op schema",IF(M17&gt;=-E17,"iets achter","ACHTER op schema"))))</f>
        <v/>
      </c>
      <c r="O17" s="33">
        <f>IF(K17="","",IFERROR(K17/MAX(Startkapitaal,MAX($K$6:K17))-1,0))</f>
        <v/>
      </c>
      <c r="P17" s="31">
        <f>IF(K17="","",IF(12&gt;=Handelsweken,0,MAX(0,($G$57-K17)/(Handelsweken-12))))</f>
        <v/>
      </c>
    </row>
    <row r="18">
      <c r="A18" s="25" t="n">
        <v>13</v>
      </c>
      <c r="B18" s="26">
        <f>Startdatum+84</f>
        <v/>
      </c>
      <c r="C18" s="27">
        <f>G17</f>
        <v/>
      </c>
      <c r="D18" s="27">
        <f>IF(RisicoModus="Vast bedrag",RisicoUSD,C18*RisicoPct)</f>
        <v/>
      </c>
      <c r="E18" s="27">
        <f>IF(13&gt;Handelsweken,0,IF(DoelModus="Vast bedrag",DoelUSD,C18*DoelPct))</f>
        <v/>
      </c>
      <c r="F18" s="28">
        <f>IFERROR(E18/D18,0)</f>
        <v/>
      </c>
      <c r="G18" s="27">
        <f>C18+E18</f>
        <v/>
      </c>
      <c r="H18" s="12" t="n"/>
      <c r="I18" s="29" t="n"/>
      <c r="J18" s="30">
        <f>IF(H18="","",IFERROR(H18/D18,0))</f>
        <v/>
      </c>
      <c r="K18" s="31">
        <f>IF(OR(COUNT($H$6:H18)=0,COUNT(H18:$H$57)=0),"",Startkapitaal+SUM($H$6:H18))</f>
        <v/>
      </c>
      <c r="L18" s="31">
        <f>IF(H18="","",H18-E18)</f>
        <v/>
      </c>
      <c r="M18" s="31">
        <f>IF(K18="","",K18-G18)</f>
        <v/>
      </c>
      <c r="N18" s="32">
        <f>IF(K18="","nog niet ingevuld",IF(M18&gt;=E18,"VOOR op schema",IF(M18&gt;=0,"op schema",IF(M18&gt;=-E18,"iets achter","ACHTER op schema"))))</f>
        <v/>
      </c>
      <c r="O18" s="33">
        <f>IF(K18="","",IFERROR(K18/MAX(Startkapitaal,MAX($K$6:K18))-1,0))</f>
        <v/>
      </c>
      <c r="P18" s="31">
        <f>IF(K18="","",IF(13&gt;=Handelsweken,0,MAX(0,($G$57-K18)/(Handelsweken-13))))</f>
        <v/>
      </c>
    </row>
    <row r="19">
      <c r="A19" s="25" t="n">
        <v>14</v>
      </c>
      <c r="B19" s="26">
        <f>Startdatum+91</f>
        <v/>
      </c>
      <c r="C19" s="27">
        <f>G18</f>
        <v/>
      </c>
      <c r="D19" s="27">
        <f>IF(RisicoModus="Vast bedrag",RisicoUSD,C19*RisicoPct)</f>
        <v/>
      </c>
      <c r="E19" s="27">
        <f>IF(14&gt;Handelsweken,0,IF(DoelModus="Vast bedrag",DoelUSD,C19*DoelPct))</f>
        <v/>
      </c>
      <c r="F19" s="28">
        <f>IFERROR(E19/D19,0)</f>
        <v/>
      </c>
      <c r="G19" s="27">
        <f>C19+E19</f>
        <v/>
      </c>
      <c r="H19" s="12" t="n"/>
      <c r="I19" s="29" t="n"/>
      <c r="J19" s="30">
        <f>IF(H19="","",IFERROR(H19/D19,0))</f>
        <v/>
      </c>
      <c r="K19" s="31">
        <f>IF(OR(COUNT($H$6:H19)=0,COUNT(H19:$H$57)=0),"",Startkapitaal+SUM($H$6:H19))</f>
        <v/>
      </c>
      <c r="L19" s="31">
        <f>IF(H19="","",H19-E19)</f>
        <v/>
      </c>
      <c r="M19" s="31">
        <f>IF(K19="","",K19-G19)</f>
        <v/>
      </c>
      <c r="N19" s="32">
        <f>IF(K19="","nog niet ingevuld",IF(M19&gt;=E19,"VOOR op schema",IF(M19&gt;=0,"op schema",IF(M19&gt;=-E19,"iets achter","ACHTER op schema"))))</f>
        <v/>
      </c>
      <c r="O19" s="33">
        <f>IF(K19="","",IFERROR(K19/MAX(Startkapitaal,MAX($K$6:K19))-1,0))</f>
        <v/>
      </c>
      <c r="P19" s="31">
        <f>IF(K19="","",IF(14&gt;=Handelsweken,0,MAX(0,($G$57-K19)/(Handelsweken-14))))</f>
        <v/>
      </c>
    </row>
    <row r="20">
      <c r="A20" s="25" t="n">
        <v>15</v>
      </c>
      <c r="B20" s="26">
        <f>Startdatum+98</f>
        <v/>
      </c>
      <c r="C20" s="27">
        <f>G19</f>
        <v/>
      </c>
      <c r="D20" s="27">
        <f>IF(RisicoModus="Vast bedrag",RisicoUSD,C20*RisicoPct)</f>
        <v/>
      </c>
      <c r="E20" s="27">
        <f>IF(15&gt;Handelsweken,0,IF(DoelModus="Vast bedrag",DoelUSD,C20*DoelPct))</f>
        <v/>
      </c>
      <c r="F20" s="28">
        <f>IFERROR(E20/D20,0)</f>
        <v/>
      </c>
      <c r="G20" s="27">
        <f>C20+E20</f>
        <v/>
      </c>
      <c r="H20" s="12" t="n"/>
      <c r="I20" s="29" t="n"/>
      <c r="J20" s="30">
        <f>IF(H20="","",IFERROR(H20/D20,0))</f>
        <v/>
      </c>
      <c r="K20" s="31">
        <f>IF(OR(COUNT($H$6:H20)=0,COUNT(H20:$H$57)=0),"",Startkapitaal+SUM($H$6:H20))</f>
        <v/>
      </c>
      <c r="L20" s="31">
        <f>IF(H20="","",H20-E20)</f>
        <v/>
      </c>
      <c r="M20" s="31">
        <f>IF(K20="","",K20-G20)</f>
        <v/>
      </c>
      <c r="N20" s="32">
        <f>IF(K20="","nog niet ingevuld",IF(M20&gt;=E20,"VOOR op schema",IF(M20&gt;=0,"op schema",IF(M20&gt;=-E20,"iets achter","ACHTER op schema"))))</f>
        <v/>
      </c>
      <c r="O20" s="33">
        <f>IF(K20="","",IFERROR(K20/MAX(Startkapitaal,MAX($K$6:K20))-1,0))</f>
        <v/>
      </c>
      <c r="P20" s="31">
        <f>IF(K20="","",IF(15&gt;=Handelsweken,0,MAX(0,($G$57-K20)/(Handelsweken-15))))</f>
        <v/>
      </c>
    </row>
    <row r="21">
      <c r="A21" s="25" t="n">
        <v>16</v>
      </c>
      <c r="B21" s="26">
        <f>Startdatum+105</f>
        <v/>
      </c>
      <c r="C21" s="27">
        <f>G20</f>
        <v/>
      </c>
      <c r="D21" s="27">
        <f>IF(RisicoModus="Vast bedrag",RisicoUSD,C21*RisicoPct)</f>
        <v/>
      </c>
      <c r="E21" s="27">
        <f>IF(16&gt;Handelsweken,0,IF(DoelModus="Vast bedrag",DoelUSD,C21*DoelPct))</f>
        <v/>
      </c>
      <c r="F21" s="28">
        <f>IFERROR(E21/D21,0)</f>
        <v/>
      </c>
      <c r="G21" s="27">
        <f>C21+E21</f>
        <v/>
      </c>
      <c r="H21" s="12" t="n"/>
      <c r="I21" s="29" t="n"/>
      <c r="J21" s="30">
        <f>IF(H21="","",IFERROR(H21/D21,0))</f>
        <v/>
      </c>
      <c r="K21" s="31">
        <f>IF(OR(COUNT($H$6:H21)=0,COUNT(H21:$H$57)=0),"",Startkapitaal+SUM($H$6:H21))</f>
        <v/>
      </c>
      <c r="L21" s="31">
        <f>IF(H21="","",H21-E21)</f>
        <v/>
      </c>
      <c r="M21" s="31">
        <f>IF(K21="","",K21-G21)</f>
        <v/>
      </c>
      <c r="N21" s="32">
        <f>IF(K21="","nog niet ingevuld",IF(M21&gt;=E21,"VOOR op schema",IF(M21&gt;=0,"op schema",IF(M21&gt;=-E21,"iets achter","ACHTER op schema"))))</f>
        <v/>
      </c>
      <c r="O21" s="33">
        <f>IF(K21="","",IFERROR(K21/MAX(Startkapitaal,MAX($K$6:K21))-1,0))</f>
        <v/>
      </c>
      <c r="P21" s="31">
        <f>IF(K21="","",IF(16&gt;=Handelsweken,0,MAX(0,($G$57-K21)/(Handelsweken-16))))</f>
        <v/>
      </c>
    </row>
    <row r="22">
      <c r="A22" s="25" t="n">
        <v>17</v>
      </c>
      <c r="B22" s="26">
        <f>Startdatum+112</f>
        <v/>
      </c>
      <c r="C22" s="27">
        <f>G21</f>
        <v/>
      </c>
      <c r="D22" s="27">
        <f>IF(RisicoModus="Vast bedrag",RisicoUSD,C22*RisicoPct)</f>
        <v/>
      </c>
      <c r="E22" s="27">
        <f>IF(17&gt;Handelsweken,0,IF(DoelModus="Vast bedrag",DoelUSD,C22*DoelPct))</f>
        <v/>
      </c>
      <c r="F22" s="28">
        <f>IFERROR(E22/D22,0)</f>
        <v/>
      </c>
      <c r="G22" s="27">
        <f>C22+E22</f>
        <v/>
      </c>
      <c r="H22" s="12" t="n"/>
      <c r="I22" s="29" t="n"/>
      <c r="J22" s="30">
        <f>IF(H22="","",IFERROR(H22/D22,0))</f>
        <v/>
      </c>
      <c r="K22" s="31">
        <f>IF(OR(COUNT($H$6:H22)=0,COUNT(H22:$H$57)=0),"",Startkapitaal+SUM($H$6:H22))</f>
        <v/>
      </c>
      <c r="L22" s="31">
        <f>IF(H22="","",H22-E22)</f>
        <v/>
      </c>
      <c r="M22" s="31">
        <f>IF(K22="","",K22-G22)</f>
        <v/>
      </c>
      <c r="N22" s="32">
        <f>IF(K22="","nog niet ingevuld",IF(M22&gt;=E22,"VOOR op schema",IF(M22&gt;=0,"op schema",IF(M22&gt;=-E22,"iets achter","ACHTER op schema"))))</f>
        <v/>
      </c>
      <c r="O22" s="33">
        <f>IF(K22="","",IFERROR(K22/MAX(Startkapitaal,MAX($K$6:K22))-1,0))</f>
        <v/>
      </c>
      <c r="P22" s="31">
        <f>IF(K22="","",IF(17&gt;=Handelsweken,0,MAX(0,($G$57-K22)/(Handelsweken-17))))</f>
        <v/>
      </c>
    </row>
    <row r="23">
      <c r="A23" s="25" t="n">
        <v>18</v>
      </c>
      <c r="B23" s="26">
        <f>Startdatum+119</f>
        <v/>
      </c>
      <c r="C23" s="27">
        <f>G22</f>
        <v/>
      </c>
      <c r="D23" s="27">
        <f>IF(RisicoModus="Vast bedrag",RisicoUSD,C23*RisicoPct)</f>
        <v/>
      </c>
      <c r="E23" s="27">
        <f>IF(18&gt;Handelsweken,0,IF(DoelModus="Vast bedrag",DoelUSD,C23*DoelPct))</f>
        <v/>
      </c>
      <c r="F23" s="28">
        <f>IFERROR(E23/D23,0)</f>
        <v/>
      </c>
      <c r="G23" s="27">
        <f>C23+E23</f>
        <v/>
      </c>
      <c r="H23" s="12" t="n"/>
      <c r="I23" s="29" t="n"/>
      <c r="J23" s="30">
        <f>IF(H23="","",IFERROR(H23/D23,0))</f>
        <v/>
      </c>
      <c r="K23" s="31">
        <f>IF(OR(COUNT($H$6:H23)=0,COUNT(H23:$H$57)=0),"",Startkapitaal+SUM($H$6:H23))</f>
        <v/>
      </c>
      <c r="L23" s="31">
        <f>IF(H23="","",H23-E23)</f>
        <v/>
      </c>
      <c r="M23" s="31">
        <f>IF(K23="","",K23-G23)</f>
        <v/>
      </c>
      <c r="N23" s="32">
        <f>IF(K23="","nog niet ingevuld",IF(M23&gt;=E23,"VOOR op schema",IF(M23&gt;=0,"op schema",IF(M23&gt;=-E23,"iets achter","ACHTER op schema"))))</f>
        <v/>
      </c>
      <c r="O23" s="33">
        <f>IF(K23="","",IFERROR(K23/MAX(Startkapitaal,MAX($K$6:K23))-1,0))</f>
        <v/>
      </c>
      <c r="P23" s="31">
        <f>IF(K23="","",IF(18&gt;=Handelsweken,0,MAX(0,($G$57-K23)/(Handelsweken-18))))</f>
        <v/>
      </c>
    </row>
    <row r="24">
      <c r="A24" s="25" t="n">
        <v>19</v>
      </c>
      <c r="B24" s="26">
        <f>Startdatum+126</f>
        <v/>
      </c>
      <c r="C24" s="27">
        <f>G23</f>
        <v/>
      </c>
      <c r="D24" s="27">
        <f>IF(RisicoModus="Vast bedrag",RisicoUSD,C24*RisicoPct)</f>
        <v/>
      </c>
      <c r="E24" s="27">
        <f>IF(19&gt;Handelsweken,0,IF(DoelModus="Vast bedrag",DoelUSD,C24*DoelPct))</f>
        <v/>
      </c>
      <c r="F24" s="28">
        <f>IFERROR(E24/D24,0)</f>
        <v/>
      </c>
      <c r="G24" s="27">
        <f>C24+E24</f>
        <v/>
      </c>
      <c r="H24" s="12" t="n"/>
      <c r="I24" s="29" t="n"/>
      <c r="J24" s="30">
        <f>IF(H24="","",IFERROR(H24/D24,0))</f>
        <v/>
      </c>
      <c r="K24" s="31">
        <f>IF(OR(COUNT($H$6:H24)=0,COUNT(H24:$H$57)=0),"",Startkapitaal+SUM($H$6:H24))</f>
        <v/>
      </c>
      <c r="L24" s="31">
        <f>IF(H24="","",H24-E24)</f>
        <v/>
      </c>
      <c r="M24" s="31">
        <f>IF(K24="","",K24-G24)</f>
        <v/>
      </c>
      <c r="N24" s="32">
        <f>IF(K24="","nog niet ingevuld",IF(M24&gt;=E24,"VOOR op schema",IF(M24&gt;=0,"op schema",IF(M24&gt;=-E24,"iets achter","ACHTER op schema"))))</f>
        <v/>
      </c>
      <c r="O24" s="33">
        <f>IF(K24="","",IFERROR(K24/MAX(Startkapitaal,MAX($K$6:K24))-1,0))</f>
        <v/>
      </c>
      <c r="P24" s="31">
        <f>IF(K24="","",IF(19&gt;=Handelsweken,0,MAX(0,($G$57-K24)/(Handelsweken-19))))</f>
        <v/>
      </c>
    </row>
    <row r="25">
      <c r="A25" s="25" t="n">
        <v>20</v>
      </c>
      <c r="B25" s="26">
        <f>Startdatum+133</f>
        <v/>
      </c>
      <c r="C25" s="27">
        <f>G24</f>
        <v/>
      </c>
      <c r="D25" s="27">
        <f>IF(RisicoModus="Vast bedrag",RisicoUSD,C25*RisicoPct)</f>
        <v/>
      </c>
      <c r="E25" s="27">
        <f>IF(20&gt;Handelsweken,0,IF(DoelModus="Vast bedrag",DoelUSD,C25*DoelPct))</f>
        <v/>
      </c>
      <c r="F25" s="28">
        <f>IFERROR(E25/D25,0)</f>
        <v/>
      </c>
      <c r="G25" s="27">
        <f>C25+E25</f>
        <v/>
      </c>
      <c r="H25" s="12" t="n"/>
      <c r="I25" s="29" t="n"/>
      <c r="J25" s="30">
        <f>IF(H25="","",IFERROR(H25/D25,0))</f>
        <v/>
      </c>
      <c r="K25" s="31">
        <f>IF(OR(COUNT($H$6:H25)=0,COUNT(H25:$H$57)=0),"",Startkapitaal+SUM($H$6:H25))</f>
        <v/>
      </c>
      <c r="L25" s="31">
        <f>IF(H25="","",H25-E25)</f>
        <v/>
      </c>
      <c r="M25" s="31">
        <f>IF(K25="","",K25-G25)</f>
        <v/>
      </c>
      <c r="N25" s="32">
        <f>IF(K25="","nog niet ingevuld",IF(M25&gt;=E25,"VOOR op schema",IF(M25&gt;=0,"op schema",IF(M25&gt;=-E25,"iets achter","ACHTER op schema"))))</f>
        <v/>
      </c>
      <c r="O25" s="33">
        <f>IF(K25="","",IFERROR(K25/MAX(Startkapitaal,MAX($K$6:K25))-1,0))</f>
        <v/>
      </c>
      <c r="P25" s="31">
        <f>IF(K25="","",IF(20&gt;=Handelsweken,0,MAX(0,($G$57-K25)/(Handelsweken-20))))</f>
        <v/>
      </c>
    </row>
    <row r="26">
      <c r="A26" s="25" t="n">
        <v>21</v>
      </c>
      <c r="B26" s="26">
        <f>Startdatum+140</f>
        <v/>
      </c>
      <c r="C26" s="27">
        <f>G25</f>
        <v/>
      </c>
      <c r="D26" s="27">
        <f>IF(RisicoModus="Vast bedrag",RisicoUSD,C26*RisicoPct)</f>
        <v/>
      </c>
      <c r="E26" s="27">
        <f>IF(21&gt;Handelsweken,0,IF(DoelModus="Vast bedrag",DoelUSD,C26*DoelPct))</f>
        <v/>
      </c>
      <c r="F26" s="28">
        <f>IFERROR(E26/D26,0)</f>
        <v/>
      </c>
      <c r="G26" s="27">
        <f>C26+E26</f>
        <v/>
      </c>
      <c r="H26" s="12" t="n"/>
      <c r="I26" s="29" t="n"/>
      <c r="J26" s="30">
        <f>IF(H26="","",IFERROR(H26/D26,0))</f>
        <v/>
      </c>
      <c r="K26" s="31">
        <f>IF(OR(COUNT($H$6:H26)=0,COUNT(H26:$H$57)=0),"",Startkapitaal+SUM($H$6:H26))</f>
        <v/>
      </c>
      <c r="L26" s="31">
        <f>IF(H26="","",H26-E26)</f>
        <v/>
      </c>
      <c r="M26" s="31">
        <f>IF(K26="","",K26-G26)</f>
        <v/>
      </c>
      <c r="N26" s="32">
        <f>IF(K26="","nog niet ingevuld",IF(M26&gt;=E26,"VOOR op schema",IF(M26&gt;=0,"op schema",IF(M26&gt;=-E26,"iets achter","ACHTER op schema"))))</f>
        <v/>
      </c>
      <c r="O26" s="33">
        <f>IF(K26="","",IFERROR(K26/MAX(Startkapitaal,MAX($K$6:K26))-1,0))</f>
        <v/>
      </c>
      <c r="P26" s="31">
        <f>IF(K26="","",IF(21&gt;=Handelsweken,0,MAX(0,($G$57-K26)/(Handelsweken-21))))</f>
        <v/>
      </c>
    </row>
    <row r="27">
      <c r="A27" s="25" t="n">
        <v>22</v>
      </c>
      <c r="B27" s="26">
        <f>Startdatum+147</f>
        <v/>
      </c>
      <c r="C27" s="27">
        <f>G26</f>
        <v/>
      </c>
      <c r="D27" s="27">
        <f>IF(RisicoModus="Vast bedrag",RisicoUSD,C27*RisicoPct)</f>
        <v/>
      </c>
      <c r="E27" s="27">
        <f>IF(22&gt;Handelsweken,0,IF(DoelModus="Vast bedrag",DoelUSD,C27*DoelPct))</f>
        <v/>
      </c>
      <c r="F27" s="28">
        <f>IFERROR(E27/D27,0)</f>
        <v/>
      </c>
      <c r="G27" s="27">
        <f>C27+E27</f>
        <v/>
      </c>
      <c r="H27" s="12" t="n"/>
      <c r="I27" s="29" t="n"/>
      <c r="J27" s="30">
        <f>IF(H27="","",IFERROR(H27/D27,0))</f>
        <v/>
      </c>
      <c r="K27" s="31">
        <f>IF(OR(COUNT($H$6:H27)=0,COUNT(H27:$H$57)=0),"",Startkapitaal+SUM($H$6:H27))</f>
        <v/>
      </c>
      <c r="L27" s="31">
        <f>IF(H27="","",H27-E27)</f>
        <v/>
      </c>
      <c r="M27" s="31">
        <f>IF(K27="","",K27-G27)</f>
        <v/>
      </c>
      <c r="N27" s="32">
        <f>IF(K27="","nog niet ingevuld",IF(M27&gt;=E27,"VOOR op schema",IF(M27&gt;=0,"op schema",IF(M27&gt;=-E27,"iets achter","ACHTER op schema"))))</f>
        <v/>
      </c>
      <c r="O27" s="33">
        <f>IF(K27="","",IFERROR(K27/MAX(Startkapitaal,MAX($K$6:K27))-1,0))</f>
        <v/>
      </c>
      <c r="P27" s="31">
        <f>IF(K27="","",IF(22&gt;=Handelsweken,0,MAX(0,($G$57-K27)/(Handelsweken-22))))</f>
        <v/>
      </c>
    </row>
    <row r="28">
      <c r="A28" s="25" t="n">
        <v>23</v>
      </c>
      <c r="B28" s="26">
        <f>Startdatum+154</f>
        <v/>
      </c>
      <c r="C28" s="27">
        <f>G27</f>
        <v/>
      </c>
      <c r="D28" s="27">
        <f>IF(RisicoModus="Vast bedrag",RisicoUSD,C28*RisicoPct)</f>
        <v/>
      </c>
      <c r="E28" s="27">
        <f>IF(23&gt;Handelsweken,0,IF(DoelModus="Vast bedrag",DoelUSD,C28*DoelPct))</f>
        <v/>
      </c>
      <c r="F28" s="28">
        <f>IFERROR(E28/D28,0)</f>
        <v/>
      </c>
      <c r="G28" s="27">
        <f>C28+E28</f>
        <v/>
      </c>
      <c r="H28" s="12" t="n"/>
      <c r="I28" s="29" t="n"/>
      <c r="J28" s="30">
        <f>IF(H28="","",IFERROR(H28/D28,0))</f>
        <v/>
      </c>
      <c r="K28" s="31">
        <f>IF(OR(COUNT($H$6:H28)=0,COUNT(H28:$H$57)=0),"",Startkapitaal+SUM($H$6:H28))</f>
        <v/>
      </c>
      <c r="L28" s="31">
        <f>IF(H28="","",H28-E28)</f>
        <v/>
      </c>
      <c r="M28" s="31">
        <f>IF(K28="","",K28-G28)</f>
        <v/>
      </c>
      <c r="N28" s="32">
        <f>IF(K28="","nog niet ingevuld",IF(M28&gt;=E28,"VOOR op schema",IF(M28&gt;=0,"op schema",IF(M28&gt;=-E28,"iets achter","ACHTER op schema"))))</f>
        <v/>
      </c>
      <c r="O28" s="33">
        <f>IF(K28="","",IFERROR(K28/MAX(Startkapitaal,MAX($K$6:K28))-1,0))</f>
        <v/>
      </c>
      <c r="P28" s="31">
        <f>IF(K28="","",IF(23&gt;=Handelsweken,0,MAX(0,($G$57-K28)/(Handelsweken-23))))</f>
        <v/>
      </c>
    </row>
    <row r="29">
      <c r="A29" s="25" t="n">
        <v>24</v>
      </c>
      <c r="B29" s="26">
        <f>Startdatum+161</f>
        <v/>
      </c>
      <c r="C29" s="27">
        <f>G28</f>
        <v/>
      </c>
      <c r="D29" s="27">
        <f>IF(RisicoModus="Vast bedrag",RisicoUSD,C29*RisicoPct)</f>
        <v/>
      </c>
      <c r="E29" s="27">
        <f>IF(24&gt;Handelsweken,0,IF(DoelModus="Vast bedrag",DoelUSD,C29*DoelPct))</f>
        <v/>
      </c>
      <c r="F29" s="28">
        <f>IFERROR(E29/D29,0)</f>
        <v/>
      </c>
      <c r="G29" s="27">
        <f>C29+E29</f>
        <v/>
      </c>
      <c r="H29" s="12" t="n"/>
      <c r="I29" s="29" t="n"/>
      <c r="J29" s="30">
        <f>IF(H29="","",IFERROR(H29/D29,0))</f>
        <v/>
      </c>
      <c r="K29" s="31">
        <f>IF(OR(COUNT($H$6:H29)=0,COUNT(H29:$H$57)=0),"",Startkapitaal+SUM($H$6:H29))</f>
        <v/>
      </c>
      <c r="L29" s="31">
        <f>IF(H29="","",H29-E29)</f>
        <v/>
      </c>
      <c r="M29" s="31">
        <f>IF(K29="","",K29-G29)</f>
        <v/>
      </c>
      <c r="N29" s="32">
        <f>IF(K29="","nog niet ingevuld",IF(M29&gt;=E29,"VOOR op schema",IF(M29&gt;=0,"op schema",IF(M29&gt;=-E29,"iets achter","ACHTER op schema"))))</f>
        <v/>
      </c>
      <c r="O29" s="33">
        <f>IF(K29="","",IFERROR(K29/MAX(Startkapitaal,MAX($K$6:K29))-1,0))</f>
        <v/>
      </c>
      <c r="P29" s="31">
        <f>IF(K29="","",IF(24&gt;=Handelsweken,0,MAX(0,($G$57-K29)/(Handelsweken-24))))</f>
        <v/>
      </c>
    </row>
    <row r="30">
      <c r="A30" s="25" t="n">
        <v>25</v>
      </c>
      <c r="B30" s="26">
        <f>Startdatum+168</f>
        <v/>
      </c>
      <c r="C30" s="27">
        <f>G29</f>
        <v/>
      </c>
      <c r="D30" s="27">
        <f>IF(RisicoModus="Vast bedrag",RisicoUSD,C30*RisicoPct)</f>
        <v/>
      </c>
      <c r="E30" s="27">
        <f>IF(25&gt;Handelsweken,0,IF(DoelModus="Vast bedrag",DoelUSD,C30*DoelPct))</f>
        <v/>
      </c>
      <c r="F30" s="28">
        <f>IFERROR(E30/D30,0)</f>
        <v/>
      </c>
      <c r="G30" s="27">
        <f>C30+E30</f>
        <v/>
      </c>
      <c r="H30" s="12" t="n"/>
      <c r="I30" s="29" t="n"/>
      <c r="J30" s="30">
        <f>IF(H30="","",IFERROR(H30/D30,0))</f>
        <v/>
      </c>
      <c r="K30" s="31">
        <f>IF(OR(COUNT($H$6:H30)=0,COUNT(H30:$H$57)=0),"",Startkapitaal+SUM($H$6:H30))</f>
        <v/>
      </c>
      <c r="L30" s="31">
        <f>IF(H30="","",H30-E30)</f>
        <v/>
      </c>
      <c r="M30" s="31">
        <f>IF(K30="","",K30-G30)</f>
        <v/>
      </c>
      <c r="N30" s="32">
        <f>IF(K30="","nog niet ingevuld",IF(M30&gt;=E30,"VOOR op schema",IF(M30&gt;=0,"op schema",IF(M30&gt;=-E30,"iets achter","ACHTER op schema"))))</f>
        <v/>
      </c>
      <c r="O30" s="33">
        <f>IF(K30="","",IFERROR(K30/MAX(Startkapitaal,MAX($K$6:K30))-1,0))</f>
        <v/>
      </c>
      <c r="P30" s="31">
        <f>IF(K30="","",IF(25&gt;=Handelsweken,0,MAX(0,($G$57-K30)/(Handelsweken-25))))</f>
        <v/>
      </c>
    </row>
    <row r="31">
      <c r="A31" s="25" t="n">
        <v>26</v>
      </c>
      <c r="B31" s="26">
        <f>Startdatum+175</f>
        <v/>
      </c>
      <c r="C31" s="27">
        <f>G30</f>
        <v/>
      </c>
      <c r="D31" s="27">
        <f>IF(RisicoModus="Vast bedrag",RisicoUSD,C31*RisicoPct)</f>
        <v/>
      </c>
      <c r="E31" s="27">
        <f>IF(26&gt;Handelsweken,0,IF(DoelModus="Vast bedrag",DoelUSD,C31*DoelPct))</f>
        <v/>
      </c>
      <c r="F31" s="28">
        <f>IFERROR(E31/D31,0)</f>
        <v/>
      </c>
      <c r="G31" s="27">
        <f>C31+E31</f>
        <v/>
      </c>
      <c r="H31" s="12" t="n"/>
      <c r="I31" s="29" t="n"/>
      <c r="J31" s="30">
        <f>IF(H31="","",IFERROR(H31/D31,0))</f>
        <v/>
      </c>
      <c r="K31" s="31">
        <f>IF(OR(COUNT($H$6:H31)=0,COUNT(H31:$H$57)=0),"",Startkapitaal+SUM($H$6:H31))</f>
        <v/>
      </c>
      <c r="L31" s="31">
        <f>IF(H31="","",H31-E31)</f>
        <v/>
      </c>
      <c r="M31" s="31">
        <f>IF(K31="","",K31-G31)</f>
        <v/>
      </c>
      <c r="N31" s="32">
        <f>IF(K31="","nog niet ingevuld",IF(M31&gt;=E31,"VOOR op schema",IF(M31&gt;=0,"op schema",IF(M31&gt;=-E31,"iets achter","ACHTER op schema"))))</f>
        <v/>
      </c>
      <c r="O31" s="33">
        <f>IF(K31="","",IFERROR(K31/MAX(Startkapitaal,MAX($K$6:K31))-1,0))</f>
        <v/>
      </c>
      <c r="P31" s="31">
        <f>IF(K31="","",IF(26&gt;=Handelsweken,0,MAX(0,($G$57-K31)/(Handelsweken-26))))</f>
        <v/>
      </c>
    </row>
    <row r="32">
      <c r="A32" s="25" t="n">
        <v>27</v>
      </c>
      <c r="B32" s="26">
        <f>Startdatum+182</f>
        <v/>
      </c>
      <c r="C32" s="27">
        <f>G31</f>
        <v/>
      </c>
      <c r="D32" s="27">
        <f>IF(RisicoModus="Vast bedrag",RisicoUSD,C32*RisicoPct)</f>
        <v/>
      </c>
      <c r="E32" s="27">
        <f>IF(27&gt;Handelsweken,0,IF(DoelModus="Vast bedrag",DoelUSD,C32*DoelPct))</f>
        <v/>
      </c>
      <c r="F32" s="28">
        <f>IFERROR(E32/D32,0)</f>
        <v/>
      </c>
      <c r="G32" s="27">
        <f>C32+E32</f>
        <v/>
      </c>
      <c r="H32" s="12" t="n"/>
      <c r="I32" s="29" t="n"/>
      <c r="J32" s="30">
        <f>IF(H32="","",IFERROR(H32/D32,0))</f>
        <v/>
      </c>
      <c r="K32" s="31">
        <f>IF(OR(COUNT($H$6:H32)=0,COUNT(H32:$H$57)=0),"",Startkapitaal+SUM($H$6:H32))</f>
        <v/>
      </c>
      <c r="L32" s="31">
        <f>IF(H32="","",H32-E32)</f>
        <v/>
      </c>
      <c r="M32" s="31">
        <f>IF(K32="","",K32-G32)</f>
        <v/>
      </c>
      <c r="N32" s="32">
        <f>IF(K32="","nog niet ingevuld",IF(M32&gt;=E32,"VOOR op schema",IF(M32&gt;=0,"op schema",IF(M32&gt;=-E32,"iets achter","ACHTER op schema"))))</f>
        <v/>
      </c>
      <c r="O32" s="33">
        <f>IF(K32="","",IFERROR(K32/MAX(Startkapitaal,MAX($K$6:K32))-1,0))</f>
        <v/>
      </c>
      <c r="P32" s="31">
        <f>IF(K32="","",IF(27&gt;=Handelsweken,0,MAX(0,($G$57-K32)/(Handelsweken-27))))</f>
        <v/>
      </c>
    </row>
    <row r="33">
      <c r="A33" s="25" t="n">
        <v>28</v>
      </c>
      <c r="B33" s="26">
        <f>Startdatum+189</f>
        <v/>
      </c>
      <c r="C33" s="27">
        <f>G32</f>
        <v/>
      </c>
      <c r="D33" s="27">
        <f>IF(RisicoModus="Vast bedrag",RisicoUSD,C33*RisicoPct)</f>
        <v/>
      </c>
      <c r="E33" s="27">
        <f>IF(28&gt;Handelsweken,0,IF(DoelModus="Vast bedrag",DoelUSD,C33*DoelPct))</f>
        <v/>
      </c>
      <c r="F33" s="28">
        <f>IFERROR(E33/D33,0)</f>
        <v/>
      </c>
      <c r="G33" s="27">
        <f>C33+E33</f>
        <v/>
      </c>
      <c r="H33" s="12" t="n"/>
      <c r="I33" s="29" t="n"/>
      <c r="J33" s="30">
        <f>IF(H33="","",IFERROR(H33/D33,0))</f>
        <v/>
      </c>
      <c r="K33" s="31">
        <f>IF(OR(COUNT($H$6:H33)=0,COUNT(H33:$H$57)=0),"",Startkapitaal+SUM($H$6:H33))</f>
        <v/>
      </c>
      <c r="L33" s="31">
        <f>IF(H33="","",H33-E33)</f>
        <v/>
      </c>
      <c r="M33" s="31">
        <f>IF(K33="","",K33-G33)</f>
        <v/>
      </c>
      <c r="N33" s="32">
        <f>IF(K33="","nog niet ingevuld",IF(M33&gt;=E33,"VOOR op schema",IF(M33&gt;=0,"op schema",IF(M33&gt;=-E33,"iets achter","ACHTER op schema"))))</f>
        <v/>
      </c>
      <c r="O33" s="33">
        <f>IF(K33="","",IFERROR(K33/MAX(Startkapitaal,MAX($K$6:K33))-1,0))</f>
        <v/>
      </c>
      <c r="P33" s="31">
        <f>IF(K33="","",IF(28&gt;=Handelsweken,0,MAX(0,($G$57-K33)/(Handelsweken-28))))</f>
        <v/>
      </c>
    </row>
    <row r="34">
      <c r="A34" s="25" t="n">
        <v>29</v>
      </c>
      <c r="B34" s="26">
        <f>Startdatum+196</f>
        <v/>
      </c>
      <c r="C34" s="27">
        <f>G33</f>
        <v/>
      </c>
      <c r="D34" s="27">
        <f>IF(RisicoModus="Vast bedrag",RisicoUSD,C34*RisicoPct)</f>
        <v/>
      </c>
      <c r="E34" s="27">
        <f>IF(29&gt;Handelsweken,0,IF(DoelModus="Vast bedrag",DoelUSD,C34*DoelPct))</f>
        <v/>
      </c>
      <c r="F34" s="28">
        <f>IFERROR(E34/D34,0)</f>
        <v/>
      </c>
      <c r="G34" s="27">
        <f>C34+E34</f>
        <v/>
      </c>
      <c r="H34" s="12" t="n"/>
      <c r="I34" s="29" t="n"/>
      <c r="J34" s="30">
        <f>IF(H34="","",IFERROR(H34/D34,0))</f>
        <v/>
      </c>
      <c r="K34" s="31">
        <f>IF(OR(COUNT($H$6:H34)=0,COUNT(H34:$H$57)=0),"",Startkapitaal+SUM($H$6:H34))</f>
        <v/>
      </c>
      <c r="L34" s="31">
        <f>IF(H34="","",H34-E34)</f>
        <v/>
      </c>
      <c r="M34" s="31">
        <f>IF(K34="","",K34-G34)</f>
        <v/>
      </c>
      <c r="N34" s="32">
        <f>IF(K34="","nog niet ingevuld",IF(M34&gt;=E34,"VOOR op schema",IF(M34&gt;=0,"op schema",IF(M34&gt;=-E34,"iets achter","ACHTER op schema"))))</f>
        <v/>
      </c>
      <c r="O34" s="33">
        <f>IF(K34="","",IFERROR(K34/MAX(Startkapitaal,MAX($K$6:K34))-1,0))</f>
        <v/>
      </c>
      <c r="P34" s="31">
        <f>IF(K34="","",IF(29&gt;=Handelsweken,0,MAX(0,($G$57-K34)/(Handelsweken-29))))</f>
        <v/>
      </c>
    </row>
    <row r="35">
      <c r="A35" s="25" t="n">
        <v>30</v>
      </c>
      <c r="B35" s="26">
        <f>Startdatum+203</f>
        <v/>
      </c>
      <c r="C35" s="27">
        <f>G34</f>
        <v/>
      </c>
      <c r="D35" s="27">
        <f>IF(RisicoModus="Vast bedrag",RisicoUSD,C35*RisicoPct)</f>
        <v/>
      </c>
      <c r="E35" s="27">
        <f>IF(30&gt;Handelsweken,0,IF(DoelModus="Vast bedrag",DoelUSD,C35*DoelPct))</f>
        <v/>
      </c>
      <c r="F35" s="28">
        <f>IFERROR(E35/D35,0)</f>
        <v/>
      </c>
      <c r="G35" s="27">
        <f>C35+E35</f>
        <v/>
      </c>
      <c r="H35" s="12" t="n"/>
      <c r="I35" s="29" t="n"/>
      <c r="J35" s="30">
        <f>IF(H35="","",IFERROR(H35/D35,0))</f>
        <v/>
      </c>
      <c r="K35" s="31">
        <f>IF(OR(COUNT($H$6:H35)=0,COUNT(H35:$H$57)=0),"",Startkapitaal+SUM($H$6:H35))</f>
        <v/>
      </c>
      <c r="L35" s="31">
        <f>IF(H35="","",H35-E35)</f>
        <v/>
      </c>
      <c r="M35" s="31">
        <f>IF(K35="","",K35-G35)</f>
        <v/>
      </c>
      <c r="N35" s="32">
        <f>IF(K35="","nog niet ingevuld",IF(M35&gt;=E35,"VOOR op schema",IF(M35&gt;=0,"op schema",IF(M35&gt;=-E35,"iets achter","ACHTER op schema"))))</f>
        <v/>
      </c>
      <c r="O35" s="33">
        <f>IF(K35="","",IFERROR(K35/MAX(Startkapitaal,MAX($K$6:K35))-1,0))</f>
        <v/>
      </c>
      <c r="P35" s="31">
        <f>IF(K35="","",IF(30&gt;=Handelsweken,0,MAX(0,($G$57-K35)/(Handelsweken-30))))</f>
        <v/>
      </c>
    </row>
    <row r="36">
      <c r="A36" s="25" t="n">
        <v>31</v>
      </c>
      <c r="B36" s="26">
        <f>Startdatum+210</f>
        <v/>
      </c>
      <c r="C36" s="27">
        <f>G35</f>
        <v/>
      </c>
      <c r="D36" s="27">
        <f>IF(RisicoModus="Vast bedrag",RisicoUSD,C36*RisicoPct)</f>
        <v/>
      </c>
      <c r="E36" s="27">
        <f>IF(31&gt;Handelsweken,0,IF(DoelModus="Vast bedrag",DoelUSD,C36*DoelPct))</f>
        <v/>
      </c>
      <c r="F36" s="28">
        <f>IFERROR(E36/D36,0)</f>
        <v/>
      </c>
      <c r="G36" s="27">
        <f>C36+E36</f>
        <v/>
      </c>
      <c r="H36" s="12" t="n"/>
      <c r="I36" s="29" t="n"/>
      <c r="J36" s="30">
        <f>IF(H36="","",IFERROR(H36/D36,0))</f>
        <v/>
      </c>
      <c r="K36" s="31">
        <f>IF(OR(COUNT($H$6:H36)=0,COUNT(H36:$H$57)=0),"",Startkapitaal+SUM($H$6:H36))</f>
        <v/>
      </c>
      <c r="L36" s="31">
        <f>IF(H36="","",H36-E36)</f>
        <v/>
      </c>
      <c r="M36" s="31">
        <f>IF(K36="","",K36-G36)</f>
        <v/>
      </c>
      <c r="N36" s="32">
        <f>IF(K36="","nog niet ingevuld",IF(M36&gt;=E36,"VOOR op schema",IF(M36&gt;=0,"op schema",IF(M36&gt;=-E36,"iets achter","ACHTER op schema"))))</f>
        <v/>
      </c>
      <c r="O36" s="33">
        <f>IF(K36="","",IFERROR(K36/MAX(Startkapitaal,MAX($K$6:K36))-1,0))</f>
        <v/>
      </c>
      <c r="P36" s="31">
        <f>IF(K36="","",IF(31&gt;=Handelsweken,0,MAX(0,($G$57-K36)/(Handelsweken-31))))</f>
        <v/>
      </c>
    </row>
    <row r="37">
      <c r="A37" s="25" t="n">
        <v>32</v>
      </c>
      <c r="B37" s="26">
        <f>Startdatum+217</f>
        <v/>
      </c>
      <c r="C37" s="27">
        <f>G36</f>
        <v/>
      </c>
      <c r="D37" s="27">
        <f>IF(RisicoModus="Vast bedrag",RisicoUSD,C37*RisicoPct)</f>
        <v/>
      </c>
      <c r="E37" s="27">
        <f>IF(32&gt;Handelsweken,0,IF(DoelModus="Vast bedrag",DoelUSD,C37*DoelPct))</f>
        <v/>
      </c>
      <c r="F37" s="28">
        <f>IFERROR(E37/D37,0)</f>
        <v/>
      </c>
      <c r="G37" s="27">
        <f>C37+E37</f>
        <v/>
      </c>
      <c r="H37" s="12" t="n"/>
      <c r="I37" s="29" t="n"/>
      <c r="J37" s="30">
        <f>IF(H37="","",IFERROR(H37/D37,0))</f>
        <v/>
      </c>
      <c r="K37" s="31">
        <f>IF(OR(COUNT($H$6:H37)=0,COUNT(H37:$H$57)=0),"",Startkapitaal+SUM($H$6:H37))</f>
        <v/>
      </c>
      <c r="L37" s="31">
        <f>IF(H37="","",H37-E37)</f>
        <v/>
      </c>
      <c r="M37" s="31">
        <f>IF(K37="","",K37-G37)</f>
        <v/>
      </c>
      <c r="N37" s="32">
        <f>IF(K37="","nog niet ingevuld",IF(M37&gt;=E37,"VOOR op schema",IF(M37&gt;=0,"op schema",IF(M37&gt;=-E37,"iets achter","ACHTER op schema"))))</f>
        <v/>
      </c>
      <c r="O37" s="33">
        <f>IF(K37="","",IFERROR(K37/MAX(Startkapitaal,MAX($K$6:K37))-1,0))</f>
        <v/>
      </c>
      <c r="P37" s="31">
        <f>IF(K37="","",IF(32&gt;=Handelsweken,0,MAX(0,($G$57-K37)/(Handelsweken-32))))</f>
        <v/>
      </c>
    </row>
    <row r="38">
      <c r="A38" s="25" t="n">
        <v>33</v>
      </c>
      <c r="B38" s="26">
        <f>Startdatum+224</f>
        <v/>
      </c>
      <c r="C38" s="27">
        <f>G37</f>
        <v/>
      </c>
      <c r="D38" s="27">
        <f>IF(RisicoModus="Vast bedrag",RisicoUSD,C38*RisicoPct)</f>
        <v/>
      </c>
      <c r="E38" s="27">
        <f>IF(33&gt;Handelsweken,0,IF(DoelModus="Vast bedrag",DoelUSD,C38*DoelPct))</f>
        <v/>
      </c>
      <c r="F38" s="28">
        <f>IFERROR(E38/D38,0)</f>
        <v/>
      </c>
      <c r="G38" s="27">
        <f>C38+E38</f>
        <v/>
      </c>
      <c r="H38" s="12" t="n"/>
      <c r="I38" s="29" t="n"/>
      <c r="J38" s="30">
        <f>IF(H38="","",IFERROR(H38/D38,0))</f>
        <v/>
      </c>
      <c r="K38" s="31">
        <f>IF(OR(COUNT($H$6:H38)=0,COUNT(H38:$H$57)=0),"",Startkapitaal+SUM($H$6:H38))</f>
        <v/>
      </c>
      <c r="L38" s="31">
        <f>IF(H38="","",H38-E38)</f>
        <v/>
      </c>
      <c r="M38" s="31">
        <f>IF(K38="","",K38-G38)</f>
        <v/>
      </c>
      <c r="N38" s="32">
        <f>IF(K38="","nog niet ingevuld",IF(M38&gt;=E38,"VOOR op schema",IF(M38&gt;=0,"op schema",IF(M38&gt;=-E38,"iets achter","ACHTER op schema"))))</f>
        <v/>
      </c>
      <c r="O38" s="33">
        <f>IF(K38="","",IFERROR(K38/MAX(Startkapitaal,MAX($K$6:K38))-1,0))</f>
        <v/>
      </c>
      <c r="P38" s="31">
        <f>IF(K38="","",IF(33&gt;=Handelsweken,0,MAX(0,($G$57-K38)/(Handelsweken-33))))</f>
        <v/>
      </c>
    </row>
    <row r="39">
      <c r="A39" s="25" t="n">
        <v>34</v>
      </c>
      <c r="B39" s="26">
        <f>Startdatum+231</f>
        <v/>
      </c>
      <c r="C39" s="27">
        <f>G38</f>
        <v/>
      </c>
      <c r="D39" s="27">
        <f>IF(RisicoModus="Vast bedrag",RisicoUSD,C39*RisicoPct)</f>
        <v/>
      </c>
      <c r="E39" s="27">
        <f>IF(34&gt;Handelsweken,0,IF(DoelModus="Vast bedrag",DoelUSD,C39*DoelPct))</f>
        <v/>
      </c>
      <c r="F39" s="28">
        <f>IFERROR(E39/D39,0)</f>
        <v/>
      </c>
      <c r="G39" s="27">
        <f>C39+E39</f>
        <v/>
      </c>
      <c r="H39" s="12" t="n"/>
      <c r="I39" s="29" t="n"/>
      <c r="J39" s="30">
        <f>IF(H39="","",IFERROR(H39/D39,0))</f>
        <v/>
      </c>
      <c r="K39" s="31">
        <f>IF(OR(COUNT($H$6:H39)=0,COUNT(H39:$H$57)=0),"",Startkapitaal+SUM($H$6:H39))</f>
        <v/>
      </c>
      <c r="L39" s="31">
        <f>IF(H39="","",H39-E39)</f>
        <v/>
      </c>
      <c r="M39" s="31">
        <f>IF(K39="","",K39-G39)</f>
        <v/>
      </c>
      <c r="N39" s="32">
        <f>IF(K39="","nog niet ingevuld",IF(M39&gt;=E39,"VOOR op schema",IF(M39&gt;=0,"op schema",IF(M39&gt;=-E39,"iets achter","ACHTER op schema"))))</f>
        <v/>
      </c>
      <c r="O39" s="33">
        <f>IF(K39="","",IFERROR(K39/MAX(Startkapitaal,MAX($K$6:K39))-1,0))</f>
        <v/>
      </c>
      <c r="P39" s="31">
        <f>IF(K39="","",IF(34&gt;=Handelsweken,0,MAX(0,($G$57-K39)/(Handelsweken-34))))</f>
        <v/>
      </c>
    </row>
    <row r="40">
      <c r="A40" s="25" t="n">
        <v>35</v>
      </c>
      <c r="B40" s="26">
        <f>Startdatum+238</f>
        <v/>
      </c>
      <c r="C40" s="27">
        <f>G39</f>
        <v/>
      </c>
      <c r="D40" s="27">
        <f>IF(RisicoModus="Vast bedrag",RisicoUSD,C40*RisicoPct)</f>
        <v/>
      </c>
      <c r="E40" s="27">
        <f>IF(35&gt;Handelsweken,0,IF(DoelModus="Vast bedrag",DoelUSD,C40*DoelPct))</f>
        <v/>
      </c>
      <c r="F40" s="28">
        <f>IFERROR(E40/D40,0)</f>
        <v/>
      </c>
      <c r="G40" s="27">
        <f>C40+E40</f>
        <v/>
      </c>
      <c r="H40" s="12" t="n"/>
      <c r="I40" s="29" t="n"/>
      <c r="J40" s="30">
        <f>IF(H40="","",IFERROR(H40/D40,0))</f>
        <v/>
      </c>
      <c r="K40" s="31">
        <f>IF(OR(COUNT($H$6:H40)=0,COUNT(H40:$H$57)=0),"",Startkapitaal+SUM($H$6:H40))</f>
        <v/>
      </c>
      <c r="L40" s="31">
        <f>IF(H40="","",H40-E40)</f>
        <v/>
      </c>
      <c r="M40" s="31">
        <f>IF(K40="","",K40-G40)</f>
        <v/>
      </c>
      <c r="N40" s="32">
        <f>IF(K40="","nog niet ingevuld",IF(M40&gt;=E40,"VOOR op schema",IF(M40&gt;=0,"op schema",IF(M40&gt;=-E40,"iets achter","ACHTER op schema"))))</f>
        <v/>
      </c>
      <c r="O40" s="33">
        <f>IF(K40="","",IFERROR(K40/MAX(Startkapitaal,MAX($K$6:K40))-1,0))</f>
        <v/>
      </c>
      <c r="P40" s="31">
        <f>IF(K40="","",IF(35&gt;=Handelsweken,0,MAX(0,($G$57-K40)/(Handelsweken-35))))</f>
        <v/>
      </c>
    </row>
    <row r="41">
      <c r="A41" s="25" t="n">
        <v>36</v>
      </c>
      <c r="B41" s="26">
        <f>Startdatum+245</f>
        <v/>
      </c>
      <c r="C41" s="27">
        <f>G40</f>
        <v/>
      </c>
      <c r="D41" s="27">
        <f>IF(RisicoModus="Vast bedrag",RisicoUSD,C41*RisicoPct)</f>
        <v/>
      </c>
      <c r="E41" s="27">
        <f>IF(36&gt;Handelsweken,0,IF(DoelModus="Vast bedrag",DoelUSD,C41*DoelPct))</f>
        <v/>
      </c>
      <c r="F41" s="28">
        <f>IFERROR(E41/D41,0)</f>
        <v/>
      </c>
      <c r="G41" s="27">
        <f>C41+E41</f>
        <v/>
      </c>
      <c r="H41" s="12" t="n"/>
      <c r="I41" s="29" t="n"/>
      <c r="J41" s="30">
        <f>IF(H41="","",IFERROR(H41/D41,0))</f>
        <v/>
      </c>
      <c r="K41" s="31">
        <f>IF(OR(COUNT($H$6:H41)=0,COUNT(H41:$H$57)=0),"",Startkapitaal+SUM($H$6:H41))</f>
        <v/>
      </c>
      <c r="L41" s="31">
        <f>IF(H41="","",H41-E41)</f>
        <v/>
      </c>
      <c r="M41" s="31">
        <f>IF(K41="","",K41-G41)</f>
        <v/>
      </c>
      <c r="N41" s="32">
        <f>IF(K41="","nog niet ingevuld",IF(M41&gt;=E41,"VOOR op schema",IF(M41&gt;=0,"op schema",IF(M41&gt;=-E41,"iets achter","ACHTER op schema"))))</f>
        <v/>
      </c>
      <c r="O41" s="33">
        <f>IF(K41="","",IFERROR(K41/MAX(Startkapitaal,MAX($K$6:K41))-1,0))</f>
        <v/>
      </c>
      <c r="P41" s="31">
        <f>IF(K41="","",IF(36&gt;=Handelsweken,0,MAX(0,($G$57-K41)/(Handelsweken-36))))</f>
        <v/>
      </c>
    </row>
    <row r="42">
      <c r="A42" s="25" t="n">
        <v>37</v>
      </c>
      <c r="B42" s="26">
        <f>Startdatum+252</f>
        <v/>
      </c>
      <c r="C42" s="27">
        <f>G41</f>
        <v/>
      </c>
      <c r="D42" s="27">
        <f>IF(RisicoModus="Vast bedrag",RisicoUSD,C42*RisicoPct)</f>
        <v/>
      </c>
      <c r="E42" s="27">
        <f>IF(37&gt;Handelsweken,0,IF(DoelModus="Vast bedrag",DoelUSD,C42*DoelPct))</f>
        <v/>
      </c>
      <c r="F42" s="28">
        <f>IFERROR(E42/D42,0)</f>
        <v/>
      </c>
      <c r="G42" s="27">
        <f>C42+E42</f>
        <v/>
      </c>
      <c r="H42" s="12" t="n"/>
      <c r="I42" s="29" t="n"/>
      <c r="J42" s="30">
        <f>IF(H42="","",IFERROR(H42/D42,0))</f>
        <v/>
      </c>
      <c r="K42" s="31">
        <f>IF(OR(COUNT($H$6:H42)=0,COUNT(H42:$H$57)=0),"",Startkapitaal+SUM($H$6:H42))</f>
        <v/>
      </c>
      <c r="L42" s="31">
        <f>IF(H42="","",H42-E42)</f>
        <v/>
      </c>
      <c r="M42" s="31">
        <f>IF(K42="","",K42-G42)</f>
        <v/>
      </c>
      <c r="N42" s="32">
        <f>IF(K42="","nog niet ingevuld",IF(M42&gt;=E42,"VOOR op schema",IF(M42&gt;=0,"op schema",IF(M42&gt;=-E42,"iets achter","ACHTER op schema"))))</f>
        <v/>
      </c>
      <c r="O42" s="33">
        <f>IF(K42="","",IFERROR(K42/MAX(Startkapitaal,MAX($K$6:K42))-1,0))</f>
        <v/>
      </c>
      <c r="P42" s="31">
        <f>IF(K42="","",IF(37&gt;=Handelsweken,0,MAX(0,($G$57-K42)/(Handelsweken-37))))</f>
        <v/>
      </c>
    </row>
    <row r="43">
      <c r="A43" s="25" t="n">
        <v>38</v>
      </c>
      <c r="B43" s="26">
        <f>Startdatum+259</f>
        <v/>
      </c>
      <c r="C43" s="27">
        <f>G42</f>
        <v/>
      </c>
      <c r="D43" s="27">
        <f>IF(RisicoModus="Vast bedrag",RisicoUSD,C43*RisicoPct)</f>
        <v/>
      </c>
      <c r="E43" s="27">
        <f>IF(38&gt;Handelsweken,0,IF(DoelModus="Vast bedrag",DoelUSD,C43*DoelPct))</f>
        <v/>
      </c>
      <c r="F43" s="28">
        <f>IFERROR(E43/D43,0)</f>
        <v/>
      </c>
      <c r="G43" s="27">
        <f>C43+E43</f>
        <v/>
      </c>
      <c r="H43" s="12" t="n"/>
      <c r="I43" s="29" t="n"/>
      <c r="J43" s="30">
        <f>IF(H43="","",IFERROR(H43/D43,0))</f>
        <v/>
      </c>
      <c r="K43" s="31">
        <f>IF(OR(COUNT($H$6:H43)=0,COUNT(H43:$H$57)=0),"",Startkapitaal+SUM($H$6:H43))</f>
        <v/>
      </c>
      <c r="L43" s="31">
        <f>IF(H43="","",H43-E43)</f>
        <v/>
      </c>
      <c r="M43" s="31">
        <f>IF(K43="","",K43-G43)</f>
        <v/>
      </c>
      <c r="N43" s="32">
        <f>IF(K43="","nog niet ingevuld",IF(M43&gt;=E43,"VOOR op schema",IF(M43&gt;=0,"op schema",IF(M43&gt;=-E43,"iets achter","ACHTER op schema"))))</f>
        <v/>
      </c>
      <c r="O43" s="33">
        <f>IF(K43="","",IFERROR(K43/MAX(Startkapitaal,MAX($K$6:K43))-1,0))</f>
        <v/>
      </c>
      <c r="P43" s="31">
        <f>IF(K43="","",IF(38&gt;=Handelsweken,0,MAX(0,($G$57-K43)/(Handelsweken-38))))</f>
        <v/>
      </c>
    </row>
    <row r="44">
      <c r="A44" s="25" t="n">
        <v>39</v>
      </c>
      <c r="B44" s="26">
        <f>Startdatum+266</f>
        <v/>
      </c>
      <c r="C44" s="27">
        <f>G43</f>
        <v/>
      </c>
      <c r="D44" s="27">
        <f>IF(RisicoModus="Vast bedrag",RisicoUSD,C44*RisicoPct)</f>
        <v/>
      </c>
      <c r="E44" s="27">
        <f>IF(39&gt;Handelsweken,0,IF(DoelModus="Vast bedrag",DoelUSD,C44*DoelPct))</f>
        <v/>
      </c>
      <c r="F44" s="28">
        <f>IFERROR(E44/D44,0)</f>
        <v/>
      </c>
      <c r="G44" s="27">
        <f>C44+E44</f>
        <v/>
      </c>
      <c r="H44" s="12" t="n"/>
      <c r="I44" s="29" t="n"/>
      <c r="J44" s="30">
        <f>IF(H44="","",IFERROR(H44/D44,0))</f>
        <v/>
      </c>
      <c r="K44" s="31">
        <f>IF(OR(COUNT($H$6:H44)=0,COUNT(H44:$H$57)=0),"",Startkapitaal+SUM($H$6:H44))</f>
        <v/>
      </c>
      <c r="L44" s="31">
        <f>IF(H44="","",H44-E44)</f>
        <v/>
      </c>
      <c r="M44" s="31">
        <f>IF(K44="","",K44-G44)</f>
        <v/>
      </c>
      <c r="N44" s="32">
        <f>IF(K44="","nog niet ingevuld",IF(M44&gt;=E44,"VOOR op schema",IF(M44&gt;=0,"op schema",IF(M44&gt;=-E44,"iets achter","ACHTER op schema"))))</f>
        <v/>
      </c>
      <c r="O44" s="33">
        <f>IF(K44="","",IFERROR(K44/MAX(Startkapitaal,MAX($K$6:K44))-1,0))</f>
        <v/>
      </c>
      <c r="P44" s="31">
        <f>IF(K44="","",IF(39&gt;=Handelsweken,0,MAX(0,($G$57-K44)/(Handelsweken-39))))</f>
        <v/>
      </c>
    </row>
    <row r="45">
      <c r="A45" s="25" t="n">
        <v>40</v>
      </c>
      <c r="B45" s="26">
        <f>Startdatum+273</f>
        <v/>
      </c>
      <c r="C45" s="27">
        <f>G44</f>
        <v/>
      </c>
      <c r="D45" s="27">
        <f>IF(RisicoModus="Vast bedrag",RisicoUSD,C45*RisicoPct)</f>
        <v/>
      </c>
      <c r="E45" s="27">
        <f>IF(40&gt;Handelsweken,0,IF(DoelModus="Vast bedrag",DoelUSD,C45*DoelPct))</f>
        <v/>
      </c>
      <c r="F45" s="28">
        <f>IFERROR(E45/D45,0)</f>
        <v/>
      </c>
      <c r="G45" s="27">
        <f>C45+E45</f>
        <v/>
      </c>
      <c r="H45" s="12" t="n"/>
      <c r="I45" s="29" t="n"/>
      <c r="J45" s="30">
        <f>IF(H45="","",IFERROR(H45/D45,0))</f>
        <v/>
      </c>
      <c r="K45" s="31">
        <f>IF(OR(COUNT($H$6:H45)=0,COUNT(H45:$H$57)=0),"",Startkapitaal+SUM($H$6:H45))</f>
        <v/>
      </c>
      <c r="L45" s="31">
        <f>IF(H45="","",H45-E45)</f>
        <v/>
      </c>
      <c r="M45" s="31">
        <f>IF(K45="","",K45-G45)</f>
        <v/>
      </c>
      <c r="N45" s="32">
        <f>IF(K45="","nog niet ingevuld",IF(M45&gt;=E45,"VOOR op schema",IF(M45&gt;=0,"op schema",IF(M45&gt;=-E45,"iets achter","ACHTER op schema"))))</f>
        <v/>
      </c>
      <c r="O45" s="33">
        <f>IF(K45="","",IFERROR(K45/MAX(Startkapitaal,MAX($K$6:K45))-1,0))</f>
        <v/>
      </c>
      <c r="P45" s="31">
        <f>IF(K45="","",IF(40&gt;=Handelsweken,0,MAX(0,($G$57-K45)/(Handelsweken-40))))</f>
        <v/>
      </c>
    </row>
    <row r="46">
      <c r="A46" s="25" t="n">
        <v>41</v>
      </c>
      <c r="B46" s="26">
        <f>Startdatum+280</f>
        <v/>
      </c>
      <c r="C46" s="27">
        <f>G45</f>
        <v/>
      </c>
      <c r="D46" s="27">
        <f>IF(RisicoModus="Vast bedrag",RisicoUSD,C46*RisicoPct)</f>
        <v/>
      </c>
      <c r="E46" s="27">
        <f>IF(41&gt;Handelsweken,0,IF(DoelModus="Vast bedrag",DoelUSD,C46*DoelPct))</f>
        <v/>
      </c>
      <c r="F46" s="28">
        <f>IFERROR(E46/D46,0)</f>
        <v/>
      </c>
      <c r="G46" s="27">
        <f>C46+E46</f>
        <v/>
      </c>
      <c r="H46" s="12" t="n"/>
      <c r="I46" s="29" t="n"/>
      <c r="J46" s="30">
        <f>IF(H46="","",IFERROR(H46/D46,0))</f>
        <v/>
      </c>
      <c r="K46" s="31">
        <f>IF(OR(COUNT($H$6:H46)=0,COUNT(H46:$H$57)=0),"",Startkapitaal+SUM($H$6:H46))</f>
        <v/>
      </c>
      <c r="L46" s="31">
        <f>IF(H46="","",H46-E46)</f>
        <v/>
      </c>
      <c r="M46" s="31">
        <f>IF(K46="","",K46-G46)</f>
        <v/>
      </c>
      <c r="N46" s="32">
        <f>IF(K46="","nog niet ingevuld",IF(M46&gt;=E46,"VOOR op schema",IF(M46&gt;=0,"op schema",IF(M46&gt;=-E46,"iets achter","ACHTER op schema"))))</f>
        <v/>
      </c>
      <c r="O46" s="33">
        <f>IF(K46="","",IFERROR(K46/MAX(Startkapitaal,MAX($K$6:K46))-1,0))</f>
        <v/>
      </c>
      <c r="P46" s="31">
        <f>IF(K46="","",IF(41&gt;=Handelsweken,0,MAX(0,($G$57-K46)/(Handelsweken-41))))</f>
        <v/>
      </c>
    </row>
    <row r="47">
      <c r="A47" s="25" t="n">
        <v>42</v>
      </c>
      <c r="B47" s="26">
        <f>Startdatum+287</f>
        <v/>
      </c>
      <c r="C47" s="27">
        <f>G46</f>
        <v/>
      </c>
      <c r="D47" s="27">
        <f>IF(RisicoModus="Vast bedrag",RisicoUSD,C47*RisicoPct)</f>
        <v/>
      </c>
      <c r="E47" s="27">
        <f>IF(42&gt;Handelsweken,0,IF(DoelModus="Vast bedrag",DoelUSD,C47*DoelPct))</f>
        <v/>
      </c>
      <c r="F47" s="28">
        <f>IFERROR(E47/D47,0)</f>
        <v/>
      </c>
      <c r="G47" s="27">
        <f>C47+E47</f>
        <v/>
      </c>
      <c r="H47" s="12" t="n"/>
      <c r="I47" s="29" t="n"/>
      <c r="J47" s="30">
        <f>IF(H47="","",IFERROR(H47/D47,0))</f>
        <v/>
      </c>
      <c r="K47" s="31">
        <f>IF(OR(COUNT($H$6:H47)=0,COUNT(H47:$H$57)=0),"",Startkapitaal+SUM($H$6:H47))</f>
        <v/>
      </c>
      <c r="L47" s="31">
        <f>IF(H47="","",H47-E47)</f>
        <v/>
      </c>
      <c r="M47" s="31">
        <f>IF(K47="","",K47-G47)</f>
        <v/>
      </c>
      <c r="N47" s="32">
        <f>IF(K47="","nog niet ingevuld",IF(M47&gt;=E47,"VOOR op schema",IF(M47&gt;=0,"op schema",IF(M47&gt;=-E47,"iets achter","ACHTER op schema"))))</f>
        <v/>
      </c>
      <c r="O47" s="33">
        <f>IF(K47="","",IFERROR(K47/MAX(Startkapitaal,MAX($K$6:K47))-1,0))</f>
        <v/>
      </c>
      <c r="P47" s="31">
        <f>IF(K47="","",IF(42&gt;=Handelsweken,0,MAX(0,($G$57-K47)/(Handelsweken-42))))</f>
        <v/>
      </c>
    </row>
    <row r="48">
      <c r="A48" s="25" t="n">
        <v>43</v>
      </c>
      <c r="B48" s="26">
        <f>Startdatum+294</f>
        <v/>
      </c>
      <c r="C48" s="27">
        <f>G47</f>
        <v/>
      </c>
      <c r="D48" s="27">
        <f>IF(RisicoModus="Vast bedrag",RisicoUSD,C48*RisicoPct)</f>
        <v/>
      </c>
      <c r="E48" s="27">
        <f>IF(43&gt;Handelsweken,0,IF(DoelModus="Vast bedrag",DoelUSD,C48*DoelPct))</f>
        <v/>
      </c>
      <c r="F48" s="28">
        <f>IFERROR(E48/D48,0)</f>
        <v/>
      </c>
      <c r="G48" s="27">
        <f>C48+E48</f>
        <v/>
      </c>
      <c r="H48" s="12" t="n"/>
      <c r="I48" s="29" t="n"/>
      <c r="J48" s="30">
        <f>IF(H48="","",IFERROR(H48/D48,0))</f>
        <v/>
      </c>
      <c r="K48" s="31">
        <f>IF(OR(COUNT($H$6:H48)=0,COUNT(H48:$H$57)=0),"",Startkapitaal+SUM($H$6:H48))</f>
        <v/>
      </c>
      <c r="L48" s="31">
        <f>IF(H48="","",H48-E48)</f>
        <v/>
      </c>
      <c r="M48" s="31">
        <f>IF(K48="","",K48-G48)</f>
        <v/>
      </c>
      <c r="N48" s="32">
        <f>IF(K48="","nog niet ingevuld",IF(M48&gt;=E48,"VOOR op schema",IF(M48&gt;=0,"op schema",IF(M48&gt;=-E48,"iets achter","ACHTER op schema"))))</f>
        <v/>
      </c>
      <c r="O48" s="33">
        <f>IF(K48="","",IFERROR(K48/MAX(Startkapitaal,MAX($K$6:K48))-1,0))</f>
        <v/>
      </c>
      <c r="P48" s="31">
        <f>IF(K48="","",IF(43&gt;=Handelsweken,0,MAX(0,($G$57-K48)/(Handelsweken-43))))</f>
        <v/>
      </c>
    </row>
    <row r="49">
      <c r="A49" s="25" t="n">
        <v>44</v>
      </c>
      <c r="B49" s="26">
        <f>Startdatum+301</f>
        <v/>
      </c>
      <c r="C49" s="27">
        <f>G48</f>
        <v/>
      </c>
      <c r="D49" s="27">
        <f>IF(RisicoModus="Vast bedrag",RisicoUSD,C49*RisicoPct)</f>
        <v/>
      </c>
      <c r="E49" s="27">
        <f>IF(44&gt;Handelsweken,0,IF(DoelModus="Vast bedrag",DoelUSD,C49*DoelPct))</f>
        <v/>
      </c>
      <c r="F49" s="28">
        <f>IFERROR(E49/D49,0)</f>
        <v/>
      </c>
      <c r="G49" s="27">
        <f>C49+E49</f>
        <v/>
      </c>
      <c r="H49" s="12" t="n"/>
      <c r="I49" s="29" t="n"/>
      <c r="J49" s="30">
        <f>IF(H49="","",IFERROR(H49/D49,0))</f>
        <v/>
      </c>
      <c r="K49" s="31">
        <f>IF(OR(COUNT($H$6:H49)=0,COUNT(H49:$H$57)=0),"",Startkapitaal+SUM($H$6:H49))</f>
        <v/>
      </c>
      <c r="L49" s="31">
        <f>IF(H49="","",H49-E49)</f>
        <v/>
      </c>
      <c r="M49" s="31">
        <f>IF(K49="","",K49-G49)</f>
        <v/>
      </c>
      <c r="N49" s="32">
        <f>IF(K49="","nog niet ingevuld",IF(M49&gt;=E49,"VOOR op schema",IF(M49&gt;=0,"op schema",IF(M49&gt;=-E49,"iets achter","ACHTER op schema"))))</f>
        <v/>
      </c>
      <c r="O49" s="33">
        <f>IF(K49="","",IFERROR(K49/MAX(Startkapitaal,MAX($K$6:K49))-1,0))</f>
        <v/>
      </c>
      <c r="P49" s="31">
        <f>IF(K49="","",IF(44&gt;=Handelsweken,0,MAX(0,($G$57-K49)/(Handelsweken-44))))</f>
        <v/>
      </c>
    </row>
    <row r="50">
      <c r="A50" s="25" t="n">
        <v>45</v>
      </c>
      <c r="B50" s="26">
        <f>Startdatum+308</f>
        <v/>
      </c>
      <c r="C50" s="27">
        <f>G49</f>
        <v/>
      </c>
      <c r="D50" s="27">
        <f>IF(RisicoModus="Vast bedrag",RisicoUSD,C50*RisicoPct)</f>
        <v/>
      </c>
      <c r="E50" s="27">
        <f>IF(45&gt;Handelsweken,0,IF(DoelModus="Vast bedrag",DoelUSD,C50*DoelPct))</f>
        <v/>
      </c>
      <c r="F50" s="28">
        <f>IFERROR(E50/D50,0)</f>
        <v/>
      </c>
      <c r="G50" s="27">
        <f>C50+E50</f>
        <v/>
      </c>
      <c r="H50" s="12" t="n"/>
      <c r="I50" s="29" t="n"/>
      <c r="J50" s="30">
        <f>IF(H50="","",IFERROR(H50/D50,0))</f>
        <v/>
      </c>
      <c r="K50" s="31">
        <f>IF(OR(COUNT($H$6:H50)=0,COUNT(H50:$H$57)=0),"",Startkapitaal+SUM($H$6:H50))</f>
        <v/>
      </c>
      <c r="L50" s="31">
        <f>IF(H50="","",H50-E50)</f>
        <v/>
      </c>
      <c r="M50" s="31">
        <f>IF(K50="","",K50-G50)</f>
        <v/>
      </c>
      <c r="N50" s="32">
        <f>IF(K50="","nog niet ingevuld",IF(M50&gt;=E50,"VOOR op schema",IF(M50&gt;=0,"op schema",IF(M50&gt;=-E50,"iets achter","ACHTER op schema"))))</f>
        <v/>
      </c>
      <c r="O50" s="33">
        <f>IF(K50="","",IFERROR(K50/MAX(Startkapitaal,MAX($K$6:K50))-1,0))</f>
        <v/>
      </c>
      <c r="P50" s="31">
        <f>IF(K50="","",IF(45&gt;=Handelsweken,0,MAX(0,($G$57-K50)/(Handelsweken-45))))</f>
        <v/>
      </c>
    </row>
    <row r="51">
      <c r="A51" s="25" t="n">
        <v>46</v>
      </c>
      <c r="B51" s="26">
        <f>Startdatum+315</f>
        <v/>
      </c>
      <c r="C51" s="27">
        <f>G50</f>
        <v/>
      </c>
      <c r="D51" s="27">
        <f>IF(RisicoModus="Vast bedrag",RisicoUSD,C51*RisicoPct)</f>
        <v/>
      </c>
      <c r="E51" s="27">
        <f>IF(46&gt;Handelsweken,0,IF(DoelModus="Vast bedrag",DoelUSD,C51*DoelPct))</f>
        <v/>
      </c>
      <c r="F51" s="28">
        <f>IFERROR(E51/D51,0)</f>
        <v/>
      </c>
      <c r="G51" s="27">
        <f>C51+E51</f>
        <v/>
      </c>
      <c r="H51" s="12" t="n"/>
      <c r="I51" s="29" t="n"/>
      <c r="J51" s="30">
        <f>IF(H51="","",IFERROR(H51/D51,0))</f>
        <v/>
      </c>
      <c r="K51" s="31">
        <f>IF(OR(COUNT($H$6:H51)=0,COUNT(H51:$H$57)=0),"",Startkapitaal+SUM($H$6:H51))</f>
        <v/>
      </c>
      <c r="L51" s="31">
        <f>IF(H51="","",H51-E51)</f>
        <v/>
      </c>
      <c r="M51" s="31">
        <f>IF(K51="","",K51-G51)</f>
        <v/>
      </c>
      <c r="N51" s="32">
        <f>IF(K51="","nog niet ingevuld",IF(M51&gt;=E51,"VOOR op schema",IF(M51&gt;=0,"op schema",IF(M51&gt;=-E51,"iets achter","ACHTER op schema"))))</f>
        <v/>
      </c>
      <c r="O51" s="33">
        <f>IF(K51="","",IFERROR(K51/MAX(Startkapitaal,MAX($K$6:K51))-1,0))</f>
        <v/>
      </c>
      <c r="P51" s="31">
        <f>IF(K51="","",IF(46&gt;=Handelsweken,0,MAX(0,($G$57-K51)/(Handelsweken-46))))</f>
        <v/>
      </c>
    </row>
    <row r="52">
      <c r="A52" s="25" t="n">
        <v>47</v>
      </c>
      <c r="B52" s="26">
        <f>Startdatum+322</f>
        <v/>
      </c>
      <c r="C52" s="27">
        <f>G51</f>
        <v/>
      </c>
      <c r="D52" s="27">
        <f>IF(RisicoModus="Vast bedrag",RisicoUSD,C52*RisicoPct)</f>
        <v/>
      </c>
      <c r="E52" s="27">
        <f>IF(47&gt;Handelsweken,0,IF(DoelModus="Vast bedrag",DoelUSD,C52*DoelPct))</f>
        <v/>
      </c>
      <c r="F52" s="28">
        <f>IFERROR(E52/D52,0)</f>
        <v/>
      </c>
      <c r="G52" s="27">
        <f>C52+E52</f>
        <v/>
      </c>
      <c r="H52" s="12" t="n"/>
      <c r="I52" s="29" t="n"/>
      <c r="J52" s="30">
        <f>IF(H52="","",IFERROR(H52/D52,0))</f>
        <v/>
      </c>
      <c r="K52" s="31">
        <f>IF(OR(COUNT($H$6:H52)=0,COUNT(H52:$H$57)=0),"",Startkapitaal+SUM($H$6:H52))</f>
        <v/>
      </c>
      <c r="L52" s="31">
        <f>IF(H52="","",H52-E52)</f>
        <v/>
      </c>
      <c r="M52" s="31">
        <f>IF(K52="","",K52-G52)</f>
        <v/>
      </c>
      <c r="N52" s="32">
        <f>IF(K52="","nog niet ingevuld",IF(M52&gt;=E52,"VOOR op schema",IF(M52&gt;=0,"op schema",IF(M52&gt;=-E52,"iets achter","ACHTER op schema"))))</f>
        <v/>
      </c>
      <c r="O52" s="33">
        <f>IF(K52="","",IFERROR(K52/MAX(Startkapitaal,MAX($K$6:K52))-1,0))</f>
        <v/>
      </c>
      <c r="P52" s="31">
        <f>IF(K52="","",IF(47&gt;=Handelsweken,0,MAX(0,($G$57-K52)/(Handelsweken-47))))</f>
        <v/>
      </c>
    </row>
    <row r="53">
      <c r="A53" s="25" t="n">
        <v>48</v>
      </c>
      <c r="B53" s="26">
        <f>Startdatum+329</f>
        <v/>
      </c>
      <c r="C53" s="27">
        <f>G52</f>
        <v/>
      </c>
      <c r="D53" s="27">
        <f>IF(RisicoModus="Vast bedrag",RisicoUSD,C53*RisicoPct)</f>
        <v/>
      </c>
      <c r="E53" s="27">
        <f>IF(48&gt;Handelsweken,0,IF(DoelModus="Vast bedrag",DoelUSD,C53*DoelPct))</f>
        <v/>
      </c>
      <c r="F53" s="28">
        <f>IFERROR(E53/D53,0)</f>
        <v/>
      </c>
      <c r="G53" s="27">
        <f>C53+E53</f>
        <v/>
      </c>
      <c r="H53" s="12" t="n"/>
      <c r="I53" s="29" t="n"/>
      <c r="J53" s="30">
        <f>IF(H53="","",IFERROR(H53/D53,0))</f>
        <v/>
      </c>
      <c r="K53" s="31">
        <f>IF(OR(COUNT($H$6:H53)=0,COUNT(H53:$H$57)=0),"",Startkapitaal+SUM($H$6:H53))</f>
        <v/>
      </c>
      <c r="L53" s="31">
        <f>IF(H53="","",H53-E53)</f>
        <v/>
      </c>
      <c r="M53" s="31">
        <f>IF(K53="","",K53-G53)</f>
        <v/>
      </c>
      <c r="N53" s="32">
        <f>IF(K53="","nog niet ingevuld",IF(M53&gt;=E53,"VOOR op schema",IF(M53&gt;=0,"op schema",IF(M53&gt;=-E53,"iets achter","ACHTER op schema"))))</f>
        <v/>
      </c>
      <c r="O53" s="33">
        <f>IF(K53="","",IFERROR(K53/MAX(Startkapitaal,MAX($K$6:K53))-1,0))</f>
        <v/>
      </c>
      <c r="P53" s="31">
        <f>IF(K53="","",IF(48&gt;=Handelsweken,0,MAX(0,($G$57-K53)/(Handelsweken-48))))</f>
        <v/>
      </c>
    </row>
    <row r="54">
      <c r="A54" s="25" t="n">
        <v>49</v>
      </c>
      <c r="B54" s="26">
        <f>Startdatum+336</f>
        <v/>
      </c>
      <c r="C54" s="27">
        <f>G53</f>
        <v/>
      </c>
      <c r="D54" s="27">
        <f>IF(RisicoModus="Vast bedrag",RisicoUSD,C54*RisicoPct)</f>
        <v/>
      </c>
      <c r="E54" s="27">
        <f>IF(49&gt;Handelsweken,0,IF(DoelModus="Vast bedrag",DoelUSD,C54*DoelPct))</f>
        <v/>
      </c>
      <c r="F54" s="28">
        <f>IFERROR(E54/D54,0)</f>
        <v/>
      </c>
      <c r="G54" s="27">
        <f>C54+E54</f>
        <v/>
      </c>
      <c r="H54" s="12" t="n"/>
      <c r="I54" s="29" t="n"/>
      <c r="J54" s="30">
        <f>IF(H54="","",IFERROR(H54/D54,0))</f>
        <v/>
      </c>
      <c r="K54" s="31">
        <f>IF(OR(COUNT($H$6:H54)=0,COUNT(H54:$H$57)=0),"",Startkapitaal+SUM($H$6:H54))</f>
        <v/>
      </c>
      <c r="L54" s="31">
        <f>IF(H54="","",H54-E54)</f>
        <v/>
      </c>
      <c r="M54" s="31">
        <f>IF(K54="","",K54-G54)</f>
        <v/>
      </c>
      <c r="N54" s="32">
        <f>IF(K54="","nog niet ingevuld",IF(M54&gt;=E54,"VOOR op schema",IF(M54&gt;=0,"op schema",IF(M54&gt;=-E54,"iets achter","ACHTER op schema"))))</f>
        <v/>
      </c>
      <c r="O54" s="33">
        <f>IF(K54="","",IFERROR(K54/MAX(Startkapitaal,MAX($K$6:K54))-1,0))</f>
        <v/>
      </c>
      <c r="P54" s="31">
        <f>IF(K54="","",IF(49&gt;=Handelsweken,0,MAX(0,($G$57-K54)/(Handelsweken-49))))</f>
        <v/>
      </c>
    </row>
    <row r="55">
      <c r="A55" s="25" t="n">
        <v>50</v>
      </c>
      <c r="B55" s="26">
        <f>Startdatum+343</f>
        <v/>
      </c>
      <c r="C55" s="27">
        <f>G54</f>
        <v/>
      </c>
      <c r="D55" s="27">
        <f>IF(RisicoModus="Vast bedrag",RisicoUSD,C55*RisicoPct)</f>
        <v/>
      </c>
      <c r="E55" s="27">
        <f>IF(50&gt;Handelsweken,0,IF(DoelModus="Vast bedrag",DoelUSD,C55*DoelPct))</f>
        <v/>
      </c>
      <c r="F55" s="28">
        <f>IFERROR(E55/D55,0)</f>
        <v/>
      </c>
      <c r="G55" s="27">
        <f>C55+E55</f>
        <v/>
      </c>
      <c r="H55" s="12" t="n"/>
      <c r="I55" s="29" t="n"/>
      <c r="J55" s="30">
        <f>IF(H55="","",IFERROR(H55/D55,0))</f>
        <v/>
      </c>
      <c r="K55" s="31">
        <f>IF(OR(COUNT($H$6:H55)=0,COUNT(H55:$H$57)=0),"",Startkapitaal+SUM($H$6:H55))</f>
        <v/>
      </c>
      <c r="L55" s="31">
        <f>IF(H55="","",H55-E55)</f>
        <v/>
      </c>
      <c r="M55" s="31">
        <f>IF(K55="","",K55-G55)</f>
        <v/>
      </c>
      <c r="N55" s="32">
        <f>IF(K55="","nog niet ingevuld",IF(M55&gt;=E55,"VOOR op schema",IF(M55&gt;=0,"op schema",IF(M55&gt;=-E55,"iets achter","ACHTER op schema"))))</f>
        <v/>
      </c>
      <c r="O55" s="33">
        <f>IF(K55="","",IFERROR(K55/MAX(Startkapitaal,MAX($K$6:K55))-1,0))</f>
        <v/>
      </c>
      <c r="P55" s="31">
        <f>IF(K55="","",IF(50&gt;=Handelsweken,0,MAX(0,($G$57-K55)/(Handelsweken-50))))</f>
        <v/>
      </c>
    </row>
    <row r="56">
      <c r="A56" s="25" t="n">
        <v>51</v>
      </c>
      <c r="B56" s="26">
        <f>Startdatum+350</f>
        <v/>
      </c>
      <c r="C56" s="27">
        <f>G55</f>
        <v/>
      </c>
      <c r="D56" s="27">
        <f>IF(RisicoModus="Vast bedrag",RisicoUSD,C56*RisicoPct)</f>
        <v/>
      </c>
      <c r="E56" s="27">
        <f>IF(51&gt;Handelsweken,0,IF(DoelModus="Vast bedrag",DoelUSD,C56*DoelPct))</f>
        <v/>
      </c>
      <c r="F56" s="28">
        <f>IFERROR(E56/D56,0)</f>
        <v/>
      </c>
      <c r="G56" s="27">
        <f>C56+E56</f>
        <v/>
      </c>
      <c r="H56" s="12" t="n"/>
      <c r="I56" s="29" t="n"/>
      <c r="J56" s="30">
        <f>IF(H56="","",IFERROR(H56/D56,0))</f>
        <v/>
      </c>
      <c r="K56" s="31">
        <f>IF(OR(COUNT($H$6:H56)=0,COUNT(H56:$H$57)=0),"",Startkapitaal+SUM($H$6:H56))</f>
        <v/>
      </c>
      <c r="L56" s="31">
        <f>IF(H56="","",H56-E56)</f>
        <v/>
      </c>
      <c r="M56" s="31">
        <f>IF(K56="","",K56-G56)</f>
        <v/>
      </c>
      <c r="N56" s="32">
        <f>IF(K56="","nog niet ingevuld",IF(M56&gt;=E56,"VOOR op schema",IF(M56&gt;=0,"op schema",IF(M56&gt;=-E56,"iets achter","ACHTER op schema"))))</f>
        <v/>
      </c>
      <c r="O56" s="33">
        <f>IF(K56="","",IFERROR(K56/MAX(Startkapitaal,MAX($K$6:K56))-1,0))</f>
        <v/>
      </c>
      <c r="P56" s="31">
        <f>IF(K56="","",IF(51&gt;=Handelsweken,0,MAX(0,($G$57-K56)/(Handelsweken-51))))</f>
        <v/>
      </c>
    </row>
    <row r="57">
      <c r="A57" s="25" t="n">
        <v>52</v>
      </c>
      <c r="B57" s="26">
        <f>Startdatum+357</f>
        <v/>
      </c>
      <c r="C57" s="27">
        <f>G56</f>
        <v/>
      </c>
      <c r="D57" s="27">
        <f>IF(RisicoModus="Vast bedrag",RisicoUSD,C57*RisicoPct)</f>
        <v/>
      </c>
      <c r="E57" s="27">
        <f>IF(52&gt;Handelsweken,0,IF(DoelModus="Vast bedrag",DoelUSD,C57*DoelPct))</f>
        <v/>
      </c>
      <c r="F57" s="28">
        <f>IFERROR(E57/D57,0)</f>
        <v/>
      </c>
      <c r="G57" s="27">
        <f>C57+E57</f>
        <v/>
      </c>
      <c r="H57" s="12" t="n"/>
      <c r="I57" s="29" t="n"/>
      <c r="J57" s="30">
        <f>IF(H57="","",IFERROR(H57/D57,0))</f>
        <v/>
      </c>
      <c r="K57" s="31">
        <f>IF(OR(COUNT($H$6:H57)=0,COUNT(H57:$H$57)=0),"",Startkapitaal+SUM($H$6:H57))</f>
        <v/>
      </c>
      <c r="L57" s="31">
        <f>IF(H57="","",H57-E57)</f>
        <v/>
      </c>
      <c r="M57" s="31">
        <f>IF(K57="","",K57-G57)</f>
        <v/>
      </c>
      <c r="N57" s="32">
        <f>IF(K57="","nog niet ingevuld",IF(M57&gt;=E57,"VOOR op schema",IF(M57&gt;=0,"op schema",IF(M57&gt;=-E57,"iets achter","ACHTER op schema"))))</f>
        <v/>
      </c>
      <c r="O57" s="33">
        <f>IF(K57="","",IFERROR(K57/MAX(Startkapitaal,MAX($K$6:K57))-1,0))</f>
        <v/>
      </c>
      <c r="P57" s="31">
        <f>IF(K57="","",IF(52&gt;=Handelsweken,0,MAX(0,($G$57-K57)/(Handelsweken-52))))</f>
        <v/>
      </c>
    </row>
  </sheetData>
  <conditionalFormatting sqref="L6:L57">
    <cfRule type="cellIs" priority="1" operator="greaterThanOrEqual" dxfId="5">
      <formula>0</formula>
    </cfRule>
    <cfRule type="cellIs" priority="2" operator="lessThan" dxfId="6">
      <formula>0</formula>
    </cfRule>
  </conditionalFormatting>
  <conditionalFormatting sqref="M6:M57">
    <cfRule type="cellIs" priority="3" operator="greaterThanOrEqual" dxfId="5">
      <formula>0</formula>
    </cfRule>
    <cfRule type="cellIs" priority="4" operator="lessThan" dxfId="6">
      <formula>0</formula>
    </cfRule>
  </conditionalFormatting>
  <conditionalFormatting sqref="N6:N57">
    <cfRule type="expression" priority="5" dxfId="7">
      <formula>ISNUMBER(SEARCH("VOOR",N6))</formula>
    </cfRule>
    <cfRule type="expression" priority="6" dxfId="7">
      <formula>N6="op schema"</formula>
    </cfRule>
    <cfRule type="expression" priority="7" dxfId="8">
      <formula>N6="iets achter"</formula>
    </cfRule>
    <cfRule type="expression" priority="8" dxfId="9">
      <formula>ISNUMBER(SEARCH("ACHTER",N6))</formula>
    </cfRule>
  </conditionalFormatting>
  <conditionalFormatting sqref="J6:J57">
    <cfRule type="expression" priority="9" dxfId="9">
      <formula>AND(J6&lt;&gt;"",J6&lt;-MaxWeekverliesR)</formula>
    </cfRule>
  </conditionalFormatting>
  <conditionalFormatting sqref="O6:O57">
    <cfRule type="cellIs" priority="10" operator="lessThan" dxfId="6">
      <formula>-0.1</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2:I57"/>
  <sheetViews>
    <sheetView showGridLines="0" workbookViewId="0">
      <selection activeCell="A1" sqref="A1"/>
    </sheetView>
  </sheetViews>
  <sheetFormatPr baseColWidth="8" defaultRowHeight="15"/>
  <cols>
    <col width="11" customWidth="1" min="1" max="1"/>
    <col width="15" customWidth="1" min="2" max="2"/>
    <col width="15" customWidth="1" min="3" max="3"/>
    <col width="18" customWidth="1" min="4" max="4"/>
    <col width="18" customWidth="1" min="5" max="5"/>
    <col width="16" customWidth="1" min="6" max="6"/>
    <col width="16" customWidth="1" min="7" max="7"/>
    <col width="14" customWidth="1" min="8" max="8"/>
    <col width="16" customWidth="1" min="9" max="9"/>
  </cols>
  <sheetData>
    <row r="2">
      <c r="B2" s="1" t="inlineStr">
        <is>
          <t>Opschalen — contracten koppelen aan saldo</t>
        </is>
      </c>
    </row>
    <row r="3">
      <c r="B3" s="2" t="inlineStr">
        <is>
          <t>Niet elke zoveel weken een contract erbij, maar zodra je saldo het draagt. Dan krimpt je positie vanzelf als het tegenzit.</t>
        </is>
      </c>
    </row>
    <row r="5">
      <c r="B5" s="10" t="inlineStr">
        <is>
          <t>CONTRACT EN RISICO</t>
        </is>
      </c>
      <c r="E5" s="10" t="inlineStr">
        <is>
          <t>WAT DAT BETEKENT</t>
        </is>
      </c>
      <c r="H5" s="34" t="inlineStr">
        <is>
          <t>Puntwaarde (USD)</t>
        </is>
      </c>
    </row>
    <row r="6">
      <c r="B6" s="3" t="inlineStr">
        <is>
          <t>Instrument</t>
        </is>
      </c>
      <c r="C6" s="14" t="inlineStr">
        <is>
          <t>MNQ</t>
        </is>
      </c>
      <c r="E6" s="3" t="inlineStr">
        <is>
          <t>Puntwaarde (USD per punt)</t>
        </is>
      </c>
      <c r="G6" s="35">
        <f>IFERROR(VLOOKUP(C6,$H$6:$I$11,2,FALSE),0)</f>
        <v/>
      </c>
      <c r="H6" s="36" t="inlineStr">
        <is>
          <t>MNQ</t>
        </is>
      </c>
      <c r="I6" s="37" t="n">
        <v>2</v>
      </c>
    </row>
    <row r="7">
      <c r="B7" s="3" t="inlineStr">
        <is>
          <t>Stop in punten</t>
        </is>
      </c>
      <c r="C7" s="38" t="n">
        <v>30</v>
      </c>
      <c r="E7" s="3" t="inlineStr">
        <is>
          <t>Risico per trade, 1 contract (USD)</t>
        </is>
      </c>
      <c r="G7" s="13">
        <f>C7*G6</f>
        <v/>
      </c>
      <c r="H7" s="36" t="inlineStr">
        <is>
          <t>MES</t>
        </is>
      </c>
      <c r="I7" s="37" t="n">
        <v>5</v>
      </c>
    </row>
    <row r="8">
      <c r="B8" s="3" t="inlineStr">
        <is>
          <t>Day-trade margin per contract (USD)</t>
        </is>
      </c>
      <c r="C8" s="39" t="n">
        <v>100</v>
      </c>
      <c r="E8" s="3" t="inlineStr">
        <is>
          <t>Kaal minimum per contract (USD)</t>
        </is>
      </c>
      <c r="G8" s="13">
        <f>C8+C9*G7</f>
        <v/>
      </c>
      <c r="H8" s="36" t="inlineStr">
        <is>
          <t>MYM</t>
        </is>
      </c>
      <c r="I8" s="37" t="n">
        <v>0.5</v>
      </c>
    </row>
    <row r="9">
      <c r="B9" s="3" t="inlineStr">
        <is>
          <t>Buffer: hoeveel verliezen moet het saldo dragen</t>
        </is>
      </c>
      <c r="C9" s="40" t="n">
        <v>12</v>
      </c>
      <c r="E9" s="3" t="inlineStr">
        <is>
          <t>Nodig per contract om op te schalen (USD)</t>
        </is>
      </c>
      <c r="G9" s="41">
        <f>G8*C10</f>
        <v/>
      </c>
      <c r="H9" s="36" t="inlineStr">
        <is>
          <t>NQ</t>
        </is>
      </c>
      <c r="I9" s="37" t="n">
        <v>20</v>
      </c>
    </row>
    <row r="10">
      <c r="B10" s="3" t="inlineStr">
        <is>
          <t>Veiligheidsfactor voor opschalen (x minimum)</t>
        </is>
      </c>
      <c r="C10" s="42" t="n">
        <v>2</v>
      </c>
      <c r="E10" s="3" t="inlineStr">
        <is>
          <t>Minimaal startkapitaal (USD)</t>
        </is>
      </c>
      <c r="G10" s="13">
        <f>G8</f>
        <v/>
      </c>
      <c r="H10" s="36" t="inlineStr">
        <is>
          <t>ES</t>
        </is>
      </c>
      <c r="I10" s="37" t="n">
        <v>50</v>
      </c>
    </row>
    <row r="11">
      <c r="E11" s="3" t="inlineStr">
        <is>
          <t>Risico per trade onderaan elke band (% van saldo)</t>
        </is>
      </c>
      <c r="G11" s="18">
        <f>IFERROR(G7/G9,0)</f>
        <v/>
      </c>
      <c r="H11" s="36" t="inlineStr">
        <is>
          <t>YM</t>
        </is>
      </c>
      <c r="I11" s="37" t="n">
        <v>5</v>
      </c>
    </row>
    <row r="12">
      <c r="E12" s="3" t="inlineStr">
        <is>
          <t>Veiligheidsfactor nodig voor max 2% risico</t>
        </is>
      </c>
      <c r="G12" s="43">
        <f>IFERROR(G7/(0.02*G8),0)</f>
        <v/>
      </c>
    </row>
    <row r="13">
      <c r="E13" s="3" t="inlineStr">
        <is>
          <t>Veiligheidsfactor nodig voor max 1% risico</t>
        </is>
      </c>
      <c r="G13" s="43">
        <f>IFERROR(G7/(0.01*G8),0)</f>
        <v/>
      </c>
    </row>
    <row r="15">
      <c r="E15" s="19">
        <f>IF(Startkapitaal&gt;=G8,"Je startkapitaal van $"&amp;TEXT(Startkapitaal,"#,##0")&amp;" draagt 1 contract. Het kale minimum is $"&amp;TEXT(G8,"#,##0")&amp;".","LET OP — je startkapitaal van $"&amp;TEXT(Startkapitaal,"#,##0")&amp;" ligt onder het kale minimum van $"&amp;TEXT(G8,"#,##0")&amp;" voor dit instrument en deze stop. Met deze stopafstand kun je nog niet "&amp;"verantwoord handelen: neem een kleiner instrument, een kortere stop, of meer startkapitaal.")</f>
        <v/>
      </c>
    </row>
    <row r="16"/>
    <row r="17"/>
    <row r="18">
      <c r="B18" s="10" t="inlineStr">
        <is>
          <t>DE LADDER — zoek je saldo op en lees af hoeveel contracten je mag traden</t>
        </is>
      </c>
    </row>
    <row r="19" ht="42" customHeight="1">
      <c r="A19" s="24" t="inlineStr">
        <is>
          <t>Contracten</t>
        </is>
      </c>
      <c r="B19" s="24" t="inlineStr">
        <is>
          <t>Saldo van (USD)</t>
        </is>
      </c>
      <c r="C19" s="24" t="inlineStr">
        <is>
          <t>Saldo tot (USD)</t>
        </is>
      </c>
      <c r="D19" s="24" t="inlineStr">
        <is>
          <t>Risico per trade, alle contracten (USD)</t>
        </is>
      </c>
      <c r="E19" s="24" t="inlineStr">
        <is>
          <t>Dat risico als % van de onderkant</t>
        </is>
      </c>
      <c r="F19" s="24" t="inlineStr">
        <is>
          <t>Max verlies per week (USD)</t>
        </is>
      </c>
    </row>
    <row r="20">
      <c r="A20" s="44" t="n">
        <v>1</v>
      </c>
      <c r="B20" s="45">
        <f>IF(1=1,$G$8,$G$9*1)</f>
        <v/>
      </c>
      <c r="C20" s="45">
        <f>$G$9*2-0.01</f>
        <v/>
      </c>
      <c r="D20" s="27">
        <f>$G$7*1</f>
        <v/>
      </c>
      <c r="E20" s="46">
        <f>IFERROR(D20/B20,0)</f>
        <v/>
      </c>
      <c r="F20" s="27">
        <f>D20*MaxWeekverliesR</f>
        <v/>
      </c>
    </row>
    <row r="21">
      <c r="A21" s="44" t="n">
        <v>2</v>
      </c>
      <c r="B21" s="45">
        <f>IF(2=1,$G$8,$G$9*2)</f>
        <v/>
      </c>
      <c r="C21" s="45">
        <f>$G$9*3-0.01</f>
        <v/>
      </c>
      <c r="D21" s="27">
        <f>$G$7*2</f>
        <v/>
      </c>
      <c r="E21" s="46">
        <f>IFERROR(D21/B21,0)</f>
        <v/>
      </c>
      <c r="F21" s="27">
        <f>D21*MaxWeekverliesR</f>
        <v/>
      </c>
    </row>
    <row r="22">
      <c r="A22" s="44" t="n">
        <v>3</v>
      </c>
      <c r="B22" s="45">
        <f>IF(3=1,$G$8,$G$9*3)</f>
        <v/>
      </c>
      <c r="C22" s="45">
        <f>$G$9*4-0.01</f>
        <v/>
      </c>
      <c r="D22" s="27">
        <f>$G$7*3</f>
        <v/>
      </c>
      <c r="E22" s="46">
        <f>IFERROR(D22/B22,0)</f>
        <v/>
      </c>
      <c r="F22" s="27">
        <f>D22*MaxWeekverliesR</f>
        <v/>
      </c>
    </row>
    <row r="23">
      <c r="A23" s="44" t="n">
        <v>4</v>
      </c>
      <c r="B23" s="45">
        <f>IF(4=1,$G$8,$G$9*4)</f>
        <v/>
      </c>
      <c r="C23" s="45">
        <f>$G$9*5-0.01</f>
        <v/>
      </c>
      <c r="D23" s="27">
        <f>$G$7*4</f>
        <v/>
      </c>
      <c r="E23" s="46">
        <f>IFERROR(D23/B23,0)</f>
        <v/>
      </c>
      <c r="F23" s="27">
        <f>D23*MaxWeekverliesR</f>
        <v/>
      </c>
    </row>
    <row r="24">
      <c r="A24" s="44" t="n">
        <v>5</v>
      </c>
      <c r="B24" s="45">
        <f>IF(5=1,$G$8,$G$9*5)</f>
        <v/>
      </c>
      <c r="C24" s="45">
        <f>$G$9*6-0.01</f>
        <v/>
      </c>
      <c r="D24" s="27">
        <f>$G$7*5</f>
        <v/>
      </c>
      <c r="E24" s="46">
        <f>IFERROR(D24/B24,0)</f>
        <v/>
      </c>
      <c r="F24" s="27">
        <f>D24*MaxWeekverliesR</f>
        <v/>
      </c>
    </row>
    <row r="25">
      <c r="A25" s="44" t="n">
        <v>6</v>
      </c>
      <c r="B25" s="45">
        <f>IF(6=1,$G$8,$G$9*6)</f>
        <v/>
      </c>
      <c r="C25" s="45">
        <f>$G$9*7-0.01</f>
        <v/>
      </c>
      <c r="D25" s="27">
        <f>$G$7*6</f>
        <v/>
      </c>
      <c r="E25" s="46">
        <f>IFERROR(D25/B25,0)</f>
        <v/>
      </c>
      <c r="F25" s="27">
        <f>D25*MaxWeekverliesR</f>
        <v/>
      </c>
    </row>
    <row r="26">
      <c r="A26" s="44" t="n">
        <v>7</v>
      </c>
      <c r="B26" s="45">
        <f>IF(7=1,$G$8,$G$9*7)</f>
        <v/>
      </c>
      <c r="C26" s="45">
        <f>$G$9*8-0.01</f>
        <v/>
      </c>
      <c r="D26" s="27">
        <f>$G$7*7</f>
        <v/>
      </c>
      <c r="E26" s="46">
        <f>IFERROR(D26/B26,0)</f>
        <v/>
      </c>
      <c r="F26" s="27">
        <f>D26*MaxWeekverliesR</f>
        <v/>
      </c>
    </row>
    <row r="27">
      <c r="A27" s="44" t="n">
        <v>8</v>
      </c>
      <c r="B27" s="45">
        <f>IF(8=1,$G$8,$G$9*8)</f>
        <v/>
      </c>
      <c r="C27" s="45">
        <f>$G$9*9-0.01</f>
        <v/>
      </c>
      <c r="D27" s="27">
        <f>$G$7*8</f>
        <v/>
      </c>
      <c r="E27" s="46">
        <f>IFERROR(D27/B27,0)</f>
        <v/>
      </c>
      <c r="F27" s="27">
        <f>D27*MaxWeekverliesR</f>
        <v/>
      </c>
    </row>
    <row r="28">
      <c r="A28" s="44" t="n">
        <v>9</v>
      </c>
      <c r="B28" s="45">
        <f>IF(9=1,$G$8,$G$9*9)</f>
        <v/>
      </c>
      <c r="C28" s="45">
        <f>$G$9*10-0.01</f>
        <v/>
      </c>
      <c r="D28" s="27">
        <f>$G$7*9</f>
        <v/>
      </c>
      <c r="E28" s="46">
        <f>IFERROR(D28/B28,0)</f>
        <v/>
      </c>
      <c r="F28" s="27">
        <f>D28*MaxWeekverliesR</f>
        <v/>
      </c>
    </row>
    <row r="29">
      <c r="A29" s="44" t="n">
        <v>10</v>
      </c>
      <c r="B29" s="45">
        <f>IF(10=1,$G$8,$G$9*10)</f>
        <v/>
      </c>
      <c r="C29" s="45">
        <f>$G$9*11-0.01</f>
        <v/>
      </c>
      <c r="D29" s="27">
        <f>$G$7*10</f>
        <v/>
      </c>
      <c r="E29" s="46">
        <f>IFERROR(D29/B29,0)</f>
        <v/>
      </c>
      <c r="F29" s="27">
        <f>D29*MaxWeekverliesR</f>
        <v/>
      </c>
    </row>
    <row r="30">
      <c r="A30" s="44" t="n">
        <v>11</v>
      </c>
      <c r="B30" s="45">
        <f>IF(11=1,$G$8,$G$9*11)</f>
        <v/>
      </c>
      <c r="C30" s="45">
        <f>$G$9*12-0.01</f>
        <v/>
      </c>
      <c r="D30" s="27">
        <f>$G$7*11</f>
        <v/>
      </c>
      <c r="E30" s="46">
        <f>IFERROR(D30/B30,0)</f>
        <v/>
      </c>
      <c r="F30" s="27">
        <f>D30*MaxWeekverliesR</f>
        <v/>
      </c>
    </row>
    <row r="31">
      <c r="A31" s="44" t="n">
        <v>12</v>
      </c>
      <c r="B31" s="45">
        <f>IF(12=1,$G$8,$G$9*12)</f>
        <v/>
      </c>
      <c r="C31" s="45">
        <f>"en hoger"</f>
        <v/>
      </c>
      <c r="D31" s="27">
        <f>$G$7*12</f>
        <v/>
      </c>
      <c r="E31" s="46">
        <f>IFERROR(D31/B31,0)</f>
        <v/>
      </c>
      <c r="F31" s="27">
        <f>D31*MaxWeekverliesR</f>
        <v/>
      </c>
    </row>
    <row r="33">
      <c r="B33" s="10" t="inlineStr">
        <is>
          <t>WAAR STA JE NU</t>
        </is>
      </c>
    </row>
    <row r="34">
      <c r="B34" s="3" t="inlineStr">
        <is>
          <t>Saldo nu (USD) — uit het Dashboard</t>
        </is>
      </c>
      <c r="C34" s="13">
        <f>Dashboard!C6</f>
        <v/>
      </c>
    </row>
    <row r="35">
      <c r="B35" s="3" t="inlineStr">
        <is>
          <t>Contracten die je nu mag traden</t>
        </is>
      </c>
      <c r="C35" s="47">
        <f>IF(C34&lt;$G$8,0,MAX(1,MIN(12,INT(C34/$G$9))))</f>
        <v/>
      </c>
    </row>
    <row r="36">
      <c r="B36" s="3" t="inlineStr">
        <is>
          <t>Nog nodig voor het volgende contract (USD)</t>
        </is>
      </c>
      <c r="C36" s="13">
        <f>IF(C35&gt;=12,0,MAX(0,$G$9*(C35+1)-C34))</f>
        <v/>
      </c>
    </row>
    <row r="37">
      <c r="B37" s="3" t="inlineStr">
        <is>
          <t>Risico per trade op dit niveau (USD)</t>
        </is>
      </c>
      <c r="C37" s="13">
        <f>C35*$G$7</f>
        <v/>
      </c>
    </row>
    <row r="39">
      <c r="B39" s="10" t="inlineStr">
        <is>
          <t>WAT DE SIMULATIE ZEGT OVER DEZE REGEL</t>
        </is>
      </c>
    </row>
    <row r="40" ht="28" customHeight="1">
      <c r="B40" s="48" t="inlineStr">
        <is>
          <t>Vaste cijfers, buiten Excel gerekend (sim_opschalen.py, 20.000 simulaties per regel). Aannames: start $2.000, MNQ, 30 punten stop ($60 risico), kaal minimum $820 per contract, 39 weken, weekspreiding 4 R, veiligheidsfactor 2,0. 'Eruit' betekent: saldo onder $820, dus geen enkel contract meer mogelijk. Zet je de factor hoger, dan dalen zowel de kans eruit te liggen als de mediaan.</t>
        </is>
      </c>
    </row>
    <row r="42" ht="42" customHeight="1">
      <c r="A42" s="24" t="inlineStr">
        <is>
          <t>Edge</t>
        </is>
      </c>
      <c r="B42" s="24" t="inlineStr">
        <is>
          <t>Opschaalregel</t>
        </is>
      </c>
      <c r="C42" s="24" t="inlineStr">
        <is>
          <t>Mediaan eindsaldo (USD)</t>
        </is>
      </c>
      <c r="D42" s="24" t="inlineStr">
        <is>
          <t>Slechtste 10% (USD)</t>
        </is>
      </c>
      <c r="E42" s="24" t="inlineStr">
        <is>
          <t>Kans eruit te liggen (%)</t>
        </is>
      </c>
      <c r="F42" s="24" t="inlineStr">
        <is>
          <t>Mediane drawdown (%)</t>
        </is>
      </c>
    </row>
    <row r="43">
      <c r="A43" s="49" t="inlineStr">
        <is>
          <t>0 R/wk</t>
        </is>
      </c>
      <c r="B43" s="49" t="inlineStr">
        <is>
          <t>kalender</t>
        </is>
      </c>
      <c r="C43" s="50" t="n">
        <v>767</v>
      </c>
      <c r="D43" s="50" t="n">
        <v>540</v>
      </c>
      <c r="E43" s="51" t="n">
        <v>0.674</v>
      </c>
      <c r="F43" s="51" t="n">
        <v>-0.717</v>
      </c>
    </row>
    <row r="44">
      <c r="A44" s="52" t="inlineStr">
        <is>
          <t>0 R/wk</t>
        </is>
      </c>
      <c r="B44" s="52" t="inlineStr">
        <is>
          <t>saldo</t>
        </is>
      </c>
      <c r="C44" s="53" t="n">
        <v>1722</v>
      </c>
      <c r="D44" s="53" t="n">
        <v>622</v>
      </c>
      <c r="E44" s="54" t="n">
        <v>0.381</v>
      </c>
      <c r="F44" s="54" t="n">
        <v>-0.575</v>
      </c>
    </row>
    <row r="45">
      <c r="A45" s="49" t="inlineStr">
        <is>
          <t>0,5 R/wk</t>
        </is>
      </c>
      <c r="B45" s="49" t="inlineStr">
        <is>
          <t>kalender</t>
        </is>
      </c>
      <c r="C45" s="50" t="n">
        <v>1458</v>
      </c>
      <c r="D45" s="50" t="n">
        <v>607</v>
      </c>
      <c r="E45" s="51" t="n">
        <v>0.427</v>
      </c>
      <c r="F45" s="51" t="n">
        <v>-0.6870000000000001</v>
      </c>
    </row>
    <row r="46">
      <c r="A46" s="52" t="inlineStr">
        <is>
          <t>0,5 R/wk</t>
        </is>
      </c>
      <c r="B46" s="52" t="inlineStr">
        <is>
          <t>saldo</t>
        </is>
      </c>
      <c r="C46" s="53" t="n">
        <v>2821</v>
      </c>
      <c r="D46" s="53" t="n">
        <v>738</v>
      </c>
      <c r="E46" s="54" t="n">
        <v>0.17</v>
      </c>
      <c r="F46" s="54" t="n">
        <v>-0.435</v>
      </c>
    </row>
    <row r="47">
      <c r="A47" s="49" t="inlineStr">
        <is>
          <t>1 R/wk</t>
        </is>
      </c>
      <c r="B47" s="49" t="inlineStr">
        <is>
          <t>kalender</t>
        </is>
      </c>
      <c r="C47" s="50" t="n">
        <v>7090</v>
      </c>
      <c r="D47" s="50" t="n">
        <v>713</v>
      </c>
      <c r="E47" s="51" t="n">
        <v>0.203</v>
      </c>
      <c r="F47" s="51" t="n">
        <v>-0.598</v>
      </c>
    </row>
    <row r="48">
      <c r="A48" s="52" t="inlineStr">
        <is>
          <t>1 R/wk</t>
        </is>
      </c>
      <c r="B48" s="52" t="inlineStr">
        <is>
          <t>saldo</t>
        </is>
      </c>
      <c r="C48" s="53" t="n">
        <v>4482</v>
      </c>
      <c r="D48" s="53" t="n">
        <v>2048</v>
      </c>
      <c r="E48" s="54" t="n">
        <v>0.058</v>
      </c>
      <c r="F48" s="54" t="n">
        <v>-0.359</v>
      </c>
    </row>
    <row r="49">
      <c r="A49" s="49" t="inlineStr">
        <is>
          <t>2 R/wk</t>
        </is>
      </c>
      <c r="B49" s="49" t="inlineStr">
        <is>
          <t>kalender</t>
        </is>
      </c>
      <c r="C49" s="50" t="n">
        <v>26243</v>
      </c>
      <c r="D49" s="50" t="n">
        <v>10409</v>
      </c>
      <c r="E49" s="51" t="n">
        <v>0.026</v>
      </c>
      <c r="F49" s="51" t="n">
        <v>-0.315</v>
      </c>
    </row>
    <row r="50">
      <c r="A50" s="52" t="inlineStr">
        <is>
          <t>2 R/wk</t>
        </is>
      </c>
      <c r="B50" s="52" t="inlineStr">
        <is>
          <t>saldo</t>
        </is>
      </c>
      <c r="C50" s="53" t="n">
        <v>14409</v>
      </c>
      <c r="D50" s="53" t="n">
        <v>5266</v>
      </c>
      <c r="E50" s="54" t="n">
        <v>0.004</v>
      </c>
      <c r="F50" s="54" t="n">
        <v>-0.269</v>
      </c>
    </row>
    <row r="51">
      <c r="A51" s="49" t="inlineStr">
        <is>
          <t>4 R/wk</t>
        </is>
      </c>
      <c r="B51" s="49" t="inlineStr">
        <is>
          <t>kalender</t>
        </is>
      </c>
      <c r="C51" s="50" t="n">
        <v>52482</v>
      </c>
      <c r="D51" s="50" t="n">
        <v>40467</v>
      </c>
      <c r="E51" s="51" t="n">
        <v>0</v>
      </c>
      <c r="F51" s="51" t="n">
        <v>-0.109</v>
      </c>
    </row>
    <row r="52">
      <c r="A52" s="52" t="inlineStr">
        <is>
          <t>4 R/wk</t>
        </is>
      </c>
      <c r="B52" s="52" t="inlineStr">
        <is>
          <t>saldo</t>
        </is>
      </c>
      <c r="C52" s="53" t="n">
        <v>183874</v>
      </c>
      <c r="D52" s="53" t="n">
        <v>63462</v>
      </c>
      <c r="E52" s="54" t="n">
        <v>0</v>
      </c>
      <c r="F52" s="54" t="n">
        <v>-0.164</v>
      </c>
    </row>
    <row r="54">
      <c r="B54" s="55" t="inlineStr">
        <is>
          <t>Lees het eerlijk: op saldo opschalen haalt de kans dat je eruit ligt fors omlaag (bij 1 R per week van 20% naar 6%) en halveert bijna de drawdown. Maar bij een matige edge levert het ook minder mediaan op dan de kalenderregel, omdat die sneller groot gaat. Pas bij een sterke edge wint de saldoregel op allebei. Kortom: je ruilt een deel van de bovenkant in voor een veel kleinere kans dat het jaar halverwege ophoudt. Dat is de afweging, niet een gratis verbetering.</t>
        </is>
      </c>
    </row>
    <row r="55"/>
    <row r="56"/>
    <row r="57"/>
  </sheetData>
  <mergeCells count="2">
    <mergeCell ref="B54:G57"/>
    <mergeCell ref="E15:G17"/>
  </mergeCells>
  <conditionalFormatting sqref="G11">
    <cfRule type="cellIs" priority="1" operator="greaterThan" dxfId="9">
      <formula>0.02</formula>
    </cfRule>
  </conditionalFormatting>
  <conditionalFormatting sqref="E15:G17">
    <cfRule type="expression" priority="2" dxfId="2">
      <formula>Startkapitaal&gt;=$G$8</formula>
    </cfRule>
    <cfRule type="expression" priority="3" dxfId="4">
      <formula>Startkapitaal&lt;$G$8</formula>
    </cfRule>
  </conditionalFormatting>
  <conditionalFormatting sqref="E20:E31">
    <cfRule type="cellIs" priority="4" operator="greaterThan" dxfId="9">
      <formula>0.02</formula>
    </cfRule>
  </conditionalFormatting>
  <dataValidations count="1">
    <dataValidation sqref="C6" showDropDown="0" showInputMessage="0" showErrorMessage="0" allowBlank="0" type="list">
      <formula1>"MNQ,MES,MYM,NQ,ES,YM"</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B35"/>
  <sheetViews>
    <sheetView showGridLines="0" workbookViewId="0">
      <selection activeCell="A1" sqref="A1"/>
    </sheetView>
  </sheetViews>
  <sheetFormatPr baseColWidth="8" defaultRowHeight="15"/>
  <cols>
    <col width="100" customWidth="1" min="2" max="2"/>
  </cols>
  <sheetData>
    <row r="2">
      <c r="B2" s="1" t="inlineStr">
        <is>
          <t>Hoe je dit werkboek gebruikt</t>
        </is>
      </c>
    </row>
    <row r="4">
      <c r="B4" s="10" t="inlineStr">
        <is>
          <t>ELKE WEEK, ÉÉN KEER</t>
        </is>
      </c>
    </row>
    <row r="5" ht="26" customHeight="1">
      <c r="B5" s="56" t="inlineStr">
        <is>
          <t>•  Vul op tabblad Weekplan twee vakjes in: wat je die week netto hebt gemaakt of verloren (USD), en hoeveel trades het waren.</t>
        </is>
      </c>
    </row>
    <row r="6" ht="15" customHeight="1">
      <c r="B6" s="56" t="inlineStr">
        <is>
          <t>•  Niet gehandeld? Laat de regel leeg. Het werkboek slaat hem over en rekent gewoon door.</t>
        </is>
      </c>
    </row>
    <row r="7" ht="15" customHeight="1">
      <c r="B7" s="56" t="inlineStr">
        <is>
          <t>•  Verder hoef je nergens iets in te vullen. Alleen de gele vakken zijn van jou.</t>
        </is>
      </c>
    </row>
    <row r="9">
      <c r="B9" s="10" t="inlineStr">
        <is>
          <t>WAAROM HET DOEL OOK IN R STAAT</t>
        </is>
      </c>
    </row>
    <row r="10" ht="26" customHeight="1">
      <c r="B10" s="56" t="inlineStr">
        <is>
          <t>•  Een bedrag per week zegt op zichzelf niets. $20 per week bij $10 risico is 2R; bij $50 risico is het 0,4R. Hetzelfde bedrag, een totaal ander verhaal over hoe goed je moet zijn.</t>
        </is>
      </c>
    </row>
    <row r="11" ht="26" customHeight="1">
      <c r="B11" s="56" t="inlineStr">
        <is>
          <t>•  De R-kolom is dus de eerlijke maat. Als je het doel wilt beoordelen, kijk daarnaar en niet naar het bedrag.</t>
        </is>
      </c>
    </row>
    <row r="13">
      <c r="B13" s="10" t="inlineStr">
        <is>
          <t>DE REALITEITSTOETS OP HET TABBLAD INSTELLINGEN</t>
        </is>
      </c>
    </row>
    <row r="14" ht="15" customHeight="1">
      <c r="B14" s="56" t="inlineStr">
        <is>
          <t>•  Tot 1R per week: conservatief. Haalbaar met een bescheiden edge.</t>
        </is>
      </c>
    </row>
    <row r="15" ht="15" customHeight="1">
      <c r="B15" s="56" t="inlineStr">
        <is>
          <t>•  1 tot 2R per week: ambitieus, maar haalbaar met een bewezen systeem.</t>
        </is>
      </c>
    </row>
    <row r="16" ht="15" customHeight="1">
      <c r="B16" s="56" t="inlineStr">
        <is>
          <t>•  2 tot 4R per week: zeer ambitieus. Weinig traders houden dit jaar in jaar uit vol.</t>
        </is>
      </c>
    </row>
    <row r="17" ht="26" customHeight="1">
      <c r="B17" s="56" t="inlineStr">
        <is>
          <t>•  Boven 4R per week: onrealistisch. Zo'n doel dwingt je tot grotere posities zodra je achterloopt.</t>
        </is>
      </c>
    </row>
    <row r="19">
      <c r="B19" s="10" t="inlineStr">
        <is>
          <t>DE GEVAARLIJKSTE REGEL IN DIT BESTAND</t>
        </is>
      </c>
    </row>
    <row r="20" ht="26" customHeight="1">
      <c r="B20" s="56" t="inlineStr">
        <is>
          <t>•  Een weekdoel is een planningsgetal, geen handelsregel. Het hoort nooit een reden te zijn om een trade te nemen of te laten.</t>
        </is>
      </c>
    </row>
    <row r="21" ht="26" customHeight="1">
      <c r="B21" s="56" t="inlineStr">
        <is>
          <t>•  Als je achterloopt is de verleiding om groter te gaan handelen. Dat is precies hoe accounts leeglopen — niet door slechte trades, maar door goede trades met te veel geld erachter.</t>
        </is>
      </c>
    </row>
    <row r="22" ht="39" customHeight="1">
      <c r="B22" s="56" t="inlineStr">
        <is>
          <t>•  Loop je achter? Verander dan eerst je doel, niet je positiegrootte. Het vakje 'Nodig per resterende week' is er om je dat te laten zien: staat daar meer dan het dubbele van je weekdoel, dan was het doel te hoog.</t>
        </is>
      </c>
    </row>
    <row r="24">
      <c r="B24" s="10" t="inlineStr">
        <is>
          <t>MAX VERLIES PER WEEK</t>
        </is>
      </c>
    </row>
    <row r="25" ht="26" customHeight="1">
      <c r="B25" s="56" t="inlineStr">
        <is>
          <t>•  Op Instellingen staat een maximum weekverlies in R. Kom je daaronder, dan stop je die week. Punt.</t>
        </is>
      </c>
    </row>
    <row r="26" ht="26" customHeight="1">
      <c r="B26" s="56" t="inlineStr">
        <is>
          <t>•  Op het Weekplan kleurt de R-kolom rood zodra een week door die grens zakt. Dat is geen verwijt achteraf — het is de controle of je je eigen regel hebt gevolgd.</t>
        </is>
      </c>
    </row>
    <row r="28">
      <c r="B28" s="10" t="inlineStr">
        <is>
          <t>VAST BEDRAG OF PERCENTAGE</t>
        </is>
      </c>
    </row>
    <row r="29" ht="26" customHeight="1">
      <c r="B29" s="56" t="inlineStr">
        <is>
          <t>•  Vast bedrag: je risico per trade blijft gelijk, hoe het account ook loopt. Rustig, voorspelbaar, en het rekent makkelijker. Voor een klein account is dit bijna altijd de betere keuze.</t>
        </is>
      </c>
    </row>
    <row r="30" ht="26" customHeight="1">
      <c r="B30" s="56" t="inlineStr">
        <is>
          <t>•  Percentage: risico en doel groeien met het saldo mee. Sneller omhoog als het goed gaat, maar ook sneller omlaag, en je positiegrootte verandert elke week.</t>
        </is>
      </c>
    </row>
    <row r="31" ht="15" customHeight="1">
      <c r="B31" s="56" t="inlineStr">
        <is>
          <t>•  Begin met Vast bedrag. Stap pas over als je een jaar cijfers hebt om op te staan.</t>
        </is>
      </c>
    </row>
    <row r="33">
      <c r="B33" s="10" t="inlineStr">
        <is>
          <t>WAT DIT BESTAND NIET DOET</t>
        </is>
      </c>
    </row>
    <row r="34" ht="26" customHeight="1">
      <c r="B34" s="56" t="inlineStr">
        <is>
          <t>•  Het journaalt geen trades. Dat doet Touchstone. Dit is de laag erboven: ligt het jaar op koers, ja of nee.</t>
        </is>
      </c>
    </row>
    <row r="35" ht="26" customHeight="1">
      <c r="B35" s="56" t="inlineStr">
        <is>
          <t>•  Het voorspelt niets. De plan-lijn is een wens, geen verwachting. De enige echte lijn is de werkelijke.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2026-10-15T15:23:43Z</dcterms:created>
  <dcterms:modified xmlns:dcterms="http://purl.org/dc/terms/" xmlns:xsi="http://www.w3.org/2001/XMLSchema-instance" xsi:type="dcterms:W3CDTF">2026-10-15T15:23:44Z</dcterms:modified>
</cp:coreProperties>
</file>